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414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Docente'!$A$7:$BI$326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Valores!$A$1:$J$103</definedName>
    <definedName name="_xlnm.Print_Area" localSheetId="1">'Escala Docente'!$A$1:$AN$326</definedName>
    <definedName name="_xlnm.Print_Area" localSheetId="4">UPC!$A$2:$J$37</definedName>
    <definedName name="_xlnm.Print_Area" localSheetId="0">Valores!$A$1:$G$90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J6" i="2" l="1"/>
  <c r="F64" i="1"/>
  <c r="AJ46" i="2"/>
  <c r="AJ45" i="2"/>
  <c r="AJ189" i="2"/>
  <c r="AJ188" i="2"/>
  <c r="AJ184" i="2"/>
  <c r="AJ182" i="2"/>
  <c r="AJ181" i="2"/>
  <c r="AJ180" i="2"/>
  <c r="AJ179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54" i="2"/>
  <c r="AJ123" i="2"/>
  <c r="AJ122" i="2"/>
  <c r="AJ70" i="2"/>
  <c r="AJ68" i="2"/>
  <c r="AJ61" i="2"/>
  <c r="AJ52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D20" i="1" l="1"/>
  <c r="D64" i="1" l="1"/>
  <c r="J95" i="1" l="1"/>
  <c r="K95" i="1" s="1"/>
  <c r="K98" i="1" l="1"/>
  <c r="J99" i="1"/>
  <c r="J100" i="1"/>
  <c r="K100" i="1" s="1"/>
  <c r="J96" i="1"/>
  <c r="K96" i="1" s="1"/>
  <c r="J97" i="1"/>
  <c r="H2" i="2" l="1"/>
  <c r="AG285" i="2" l="1"/>
  <c r="AG214" i="2"/>
  <c r="AG271" i="2"/>
  <c r="AG244" i="2"/>
  <c r="AG277" i="2"/>
  <c r="AG195" i="2"/>
  <c r="AG197" i="2"/>
  <c r="AG275" i="2"/>
  <c r="AG194" i="2"/>
  <c r="AG199" i="2"/>
  <c r="AG201" i="2"/>
  <c r="AG262" i="2"/>
  <c r="AG212" i="2"/>
  <c r="AG266" i="2"/>
  <c r="AG215" i="2"/>
  <c r="AG218" i="2"/>
  <c r="AG200" i="2"/>
  <c r="AG261" i="2"/>
  <c r="AG247" i="2"/>
  <c r="AG269" i="2"/>
  <c r="AG260" i="2"/>
  <c r="AG265" i="2"/>
  <c r="AG253" i="2"/>
  <c r="AG278" i="2"/>
  <c r="AG241" i="2"/>
  <c r="AG205" i="2"/>
  <c r="AG248" i="2"/>
  <c r="AG283" i="2"/>
  <c r="AG267" i="2"/>
  <c r="AG208" i="2"/>
  <c r="AG233" i="2"/>
  <c r="AG272" i="2"/>
  <c r="AG216" i="2"/>
  <c r="AG279" i="2"/>
  <c r="AG270" i="2"/>
  <c r="AG280" i="2"/>
  <c r="AG237" i="2"/>
  <c r="AG193" i="2"/>
  <c r="AG219" i="2"/>
  <c r="AG255" i="2"/>
  <c r="AG211" i="2"/>
  <c r="AG263" i="2"/>
  <c r="AG210" i="2"/>
  <c r="AG231" i="2"/>
  <c r="AG206" i="2"/>
  <c r="AG204" i="2"/>
  <c r="AG250" i="2"/>
  <c r="AG259" i="2"/>
  <c r="AG274" i="2"/>
  <c r="AG257" i="2"/>
  <c r="AG243" i="2"/>
  <c r="AG284" i="2"/>
  <c r="AG249" i="2"/>
  <c r="AG236" i="2"/>
  <c r="AG209" i="2"/>
  <c r="AG282" i="2"/>
  <c r="AG251" i="2"/>
  <c r="AG234" i="2"/>
  <c r="AG196" i="2"/>
  <c r="AG256" i="2"/>
  <c r="AG239" i="2"/>
  <c r="AG232" i="2"/>
  <c r="AG254" i="2"/>
  <c r="AG264" i="2"/>
  <c r="AG258" i="2"/>
  <c r="AG281" i="2"/>
  <c r="AG246" i="2"/>
  <c r="AG213" i="2"/>
  <c r="AG273" i="2"/>
  <c r="AG203" i="2"/>
  <c r="AG276" i="2"/>
  <c r="AG268" i="2"/>
  <c r="AG202" i="2"/>
  <c r="AG207" i="2"/>
  <c r="AG242" i="2"/>
  <c r="AG220" i="2"/>
  <c r="AG286" i="2"/>
  <c r="AG198" i="2"/>
  <c r="AG245" i="2"/>
  <c r="AG252" i="2"/>
  <c r="AG217" i="2"/>
  <c r="AG235" i="2"/>
  <c r="AG240" i="2"/>
  <c r="AG238" i="2"/>
  <c r="AG191" i="2"/>
  <c r="X3" i="2"/>
  <c r="F101" i="1" l="1"/>
  <c r="F100" i="1"/>
  <c r="F99" i="1"/>
  <c r="F97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M159" i="2" l="1"/>
  <c r="AM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L326" i="2"/>
  <c r="AG326" i="2"/>
  <c r="AF326" i="2"/>
  <c r="Z326" i="2"/>
  <c r="X326" i="2"/>
  <c r="R326" i="2"/>
  <c r="L326" i="2"/>
  <c r="J326" i="2"/>
  <c r="H326" i="2"/>
  <c r="F326" i="2"/>
  <c r="AL325" i="2"/>
  <c r="AG325" i="2"/>
  <c r="AF325" i="2"/>
  <c r="Z325" i="2"/>
  <c r="X325" i="2"/>
  <c r="R325" i="2"/>
  <c r="L325" i="2"/>
  <c r="J325" i="2"/>
  <c r="H325" i="2"/>
  <c r="F325" i="2"/>
  <c r="AL324" i="2"/>
  <c r="AG324" i="2"/>
  <c r="AF324" i="2"/>
  <c r="Z324" i="2"/>
  <c r="X324" i="2"/>
  <c r="R324" i="2"/>
  <c r="L324" i="2"/>
  <c r="J324" i="2"/>
  <c r="H324" i="2"/>
  <c r="F324" i="2"/>
  <c r="AL323" i="2"/>
  <c r="AJ323" i="2"/>
  <c r="AG323" i="2"/>
  <c r="AF323" i="2"/>
  <c r="Z323" i="2"/>
  <c r="X323" i="2"/>
  <c r="R323" i="2"/>
  <c r="L323" i="2"/>
  <c r="J323" i="2"/>
  <c r="H323" i="2"/>
  <c r="F323" i="2"/>
  <c r="AL322" i="2"/>
  <c r="AJ322" i="2"/>
  <c r="AG322" i="2"/>
  <c r="AF322" i="2"/>
  <c r="Z322" i="2"/>
  <c r="X322" i="2"/>
  <c r="R322" i="2"/>
  <c r="L322" i="2"/>
  <c r="J322" i="2"/>
  <c r="H322" i="2"/>
  <c r="F322" i="2"/>
  <c r="AL321" i="2"/>
  <c r="AJ321" i="2"/>
  <c r="AG321" i="2"/>
  <c r="AF321" i="2"/>
  <c r="Z321" i="2"/>
  <c r="X321" i="2"/>
  <c r="R321" i="2"/>
  <c r="L321" i="2"/>
  <c r="J321" i="2"/>
  <c r="H321" i="2"/>
  <c r="F321" i="2"/>
  <c r="AF320" i="2"/>
  <c r="X320" i="2"/>
  <c r="R320" i="2"/>
  <c r="L320" i="2"/>
  <c r="J320" i="2"/>
  <c r="H320" i="2"/>
  <c r="AF319" i="2"/>
  <c r="X319" i="2"/>
  <c r="R319" i="2"/>
  <c r="L319" i="2"/>
  <c r="J319" i="2"/>
  <c r="H319" i="2"/>
  <c r="AF318" i="2"/>
  <c r="X318" i="2"/>
  <c r="R318" i="2"/>
  <c r="L318" i="2"/>
  <c r="J318" i="2"/>
  <c r="H318" i="2"/>
  <c r="AF317" i="2"/>
  <c r="X317" i="2"/>
  <c r="R317" i="2"/>
  <c r="L317" i="2"/>
  <c r="J317" i="2"/>
  <c r="H317" i="2"/>
  <c r="AF316" i="2"/>
  <c r="X316" i="2"/>
  <c r="R316" i="2"/>
  <c r="L316" i="2"/>
  <c r="J316" i="2"/>
  <c r="H316" i="2"/>
  <c r="AF315" i="2"/>
  <c r="X315" i="2"/>
  <c r="R315" i="2"/>
  <c r="L315" i="2"/>
  <c r="J315" i="2"/>
  <c r="H315" i="2"/>
  <c r="AF314" i="2"/>
  <c r="X314" i="2"/>
  <c r="R314" i="2"/>
  <c r="L314" i="2"/>
  <c r="J314" i="2"/>
  <c r="H314" i="2"/>
  <c r="AF313" i="2"/>
  <c r="X313" i="2"/>
  <c r="R313" i="2"/>
  <c r="L313" i="2"/>
  <c r="J313" i="2"/>
  <c r="H313" i="2"/>
  <c r="AF312" i="2"/>
  <c r="X312" i="2"/>
  <c r="R312" i="2"/>
  <c r="L312" i="2"/>
  <c r="J312" i="2"/>
  <c r="H312" i="2"/>
  <c r="AF311" i="2"/>
  <c r="X311" i="2"/>
  <c r="R311" i="2"/>
  <c r="L311" i="2"/>
  <c r="J311" i="2"/>
  <c r="H311" i="2"/>
  <c r="AF310" i="2"/>
  <c r="X310" i="2"/>
  <c r="R310" i="2"/>
  <c r="L310" i="2"/>
  <c r="J310" i="2"/>
  <c r="H310" i="2"/>
  <c r="AF309" i="2"/>
  <c r="X309" i="2"/>
  <c r="R309" i="2"/>
  <c r="L309" i="2"/>
  <c r="J309" i="2"/>
  <c r="H309" i="2"/>
  <c r="AF308" i="2"/>
  <c r="X308" i="2"/>
  <c r="R308" i="2"/>
  <c r="L308" i="2"/>
  <c r="J308" i="2"/>
  <c r="H308" i="2"/>
  <c r="AF307" i="2"/>
  <c r="X307" i="2"/>
  <c r="R307" i="2"/>
  <c r="L307" i="2"/>
  <c r="J307" i="2"/>
  <c r="H307" i="2"/>
  <c r="AF306" i="2"/>
  <c r="X306" i="2"/>
  <c r="R306" i="2"/>
  <c r="L306" i="2"/>
  <c r="J306" i="2"/>
  <c r="H306" i="2"/>
  <c r="E306" i="2"/>
  <c r="E307" i="2" s="1"/>
  <c r="AF305" i="2"/>
  <c r="X305" i="2"/>
  <c r="R305" i="2"/>
  <c r="L305" i="2"/>
  <c r="J305" i="2"/>
  <c r="H305" i="2"/>
  <c r="F305" i="2"/>
  <c r="AF304" i="2"/>
  <c r="X304" i="2"/>
  <c r="R304" i="2"/>
  <c r="L304" i="2"/>
  <c r="J304" i="2"/>
  <c r="H304" i="2"/>
  <c r="F304" i="2"/>
  <c r="AF303" i="2"/>
  <c r="X303" i="2"/>
  <c r="R303" i="2"/>
  <c r="L303" i="2"/>
  <c r="J303" i="2"/>
  <c r="H303" i="2"/>
  <c r="F303" i="2"/>
  <c r="AF302" i="2"/>
  <c r="X302" i="2"/>
  <c r="R302" i="2"/>
  <c r="L302" i="2"/>
  <c r="J302" i="2"/>
  <c r="H302" i="2"/>
  <c r="F302" i="2"/>
  <c r="AT301" i="2"/>
  <c r="AS301" i="2"/>
  <c r="AF301" i="2"/>
  <c r="X301" i="2"/>
  <c r="L301" i="2"/>
  <c r="J301" i="2"/>
  <c r="H301" i="2"/>
  <c r="E301" i="2"/>
  <c r="F301" i="2" s="1"/>
  <c r="AT300" i="2"/>
  <c r="AS300" i="2"/>
  <c r="AL300" i="2"/>
  <c r="AJ300" i="2"/>
  <c r="AG300" i="2"/>
  <c r="AF300" i="2"/>
  <c r="Z300" i="2"/>
  <c r="X300" i="2"/>
  <c r="R300" i="2"/>
  <c r="L300" i="2"/>
  <c r="J300" i="2"/>
  <c r="H300" i="2"/>
  <c r="F300" i="2"/>
  <c r="BH299" i="2"/>
  <c r="AT299" i="2"/>
  <c r="AS299" i="2"/>
  <c r="AL299" i="2"/>
  <c r="AF299" i="2"/>
  <c r="Z299" i="2"/>
  <c r="X299" i="2"/>
  <c r="S299" i="2"/>
  <c r="O299" i="2"/>
  <c r="L299" i="2"/>
  <c r="J299" i="2"/>
  <c r="H299" i="2"/>
  <c r="F299" i="2"/>
  <c r="BH298" i="2"/>
  <c r="AT298" i="2"/>
  <c r="AS298" i="2"/>
  <c r="AL298" i="2"/>
  <c r="AF298" i="2"/>
  <c r="Z298" i="2"/>
  <c r="X298" i="2"/>
  <c r="S298" i="2"/>
  <c r="O298" i="2"/>
  <c r="L298" i="2"/>
  <c r="J298" i="2"/>
  <c r="H298" i="2"/>
  <c r="E298" i="2"/>
  <c r="F298" i="2" s="1"/>
  <c r="D298" i="2"/>
  <c r="BH297" i="2"/>
  <c r="AT297" i="2"/>
  <c r="AS297" i="2"/>
  <c r="AL297" i="2"/>
  <c r="AF297" i="2"/>
  <c r="Z297" i="2"/>
  <c r="X297" i="2"/>
  <c r="S297" i="2"/>
  <c r="O297" i="2"/>
  <c r="L297" i="2"/>
  <c r="J297" i="2"/>
  <c r="H297" i="2"/>
  <c r="E297" i="2"/>
  <c r="F297" i="2" s="1"/>
  <c r="D297" i="2"/>
  <c r="BH296" i="2"/>
  <c r="AT296" i="2"/>
  <c r="AS296" i="2"/>
  <c r="AL296" i="2"/>
  <c r="AF296" i="2"/>
  <c r="Z296" i="2"/>
  <c r="X296" i="2"/>
  <c r="S296" i="2"/>
  <c r="O296" i="2"/>
  <c r="L296" i="2"/>
  <c r="J296" i="2"/>
  <c r="H296" i="2"/>
  <c r="E296" i="2"/>
  <c r="F296" i="2" s="1"/>
  <c r="D296" i="2"/>
  <c r="BH295" i="2"/>
  <c r="AT295" i="2"/>
  <c r="AS295" i="2"/>
  <c r="AL295" i="2"/>
  <c r="AF295" i="2"/>
  <c r="Z295" i="2"/>
  <c r="X295" i="2"/>
  <c r="S295" i="2"/>
  <c r="O295" i="2"/>
  <c r="L295" i="2"/>
  <c r="J295" i="2"/>
  <c r="H295" i="2"/>
  <c r="E295" i="2"/>
  <c r="F295" i="2" s="1"/>
  <c r="D295" i="2"/>
  <c r="BH294" i="2"/>
  <c r="AT294" i="2"/>
  <c r="AS294" i="2"/>
  <c r="AL294" i="2"/>
  <c r="AF294" i="2"/>
  <c r="Z294" i="2"/>
  <c r="X294" i="2"/>
  <c r="S294" i="2"/>
  <c r="O294" i="2"/>
  <c r="L294" i="2"/>
  <c r="J294" i="2"/>
  <c r="H294" i="2"/>
  <c r="E294" i="2"/>
  <c r="F294" i="2" s="1"/>
  <c r="D294" i="2"/>
  <c r="BH293" i="2"/>
  <c r="AT293" i="2"/>
  <c r="AS293" i="2"/>
  <c r="AL293" i="2"/>
  <c r="AF293" i="2"/>
  <c r="Z293" i="2"/>
  <c r="X293" i="2"/>
  <c r="S293" i="2"/>
  <c r="O293" i="2"/>
  <c r="L293" i="2"/>
  <c r="J293" i="2"/>
  <c r="H293" i="2"/>
  <c r="E293" i="2"/>
  <c r="F293" i="2" s="1"/>
  <c r="D293" i="2"/>
  <c r="BH292" i="2"/>
  <c r="AT292" i="2"/>
  <c r="AS292" i="2"/>
  <c r="AL292" i="2"/>
  <c r="AF292" i="2"/>
  <c r="Z292" i="2"/>
  <c r="X292" i="2"/>
  <c r="S292" i="2"/>
  <c r="O292" i="2"/>
  <c r="L292" i="2"/>
  <c r="J292" i="2"/>
  <c r="H292" i="2"/>
  <c r="E292" i="2"/>
  <c r="F292" i="2" s="1"/>
  <c r="D292" i="2"/>
  <c r="BH291" i="2"/>
  <c r="AT291" i="2"/>
  <c r="AS291" i="2"/>
  <c r="AL291" i="2"/>
  <c r="AF291" i="2"/>
  <c r="Z291" i="2"/>
  <c r="X291" i="2"/>
  <c r="S291" i="2"/>
  <c r="O291" i="2"/>
  <c r="L291" i="2"/>
  <c r="J291" i="2"/>
  <c r="H291" i="2"/>
  <c r="E291" i="2"/>
  <c r="F291" i="2" s="1"/>
  <c r="D291" i="2"/>
  <c r="BH290" i="2"/>
  <c r="AT290" i="2"/>
  <c r="AS290" i="2"/>
  <c r="AL290" i="2"/>
  <c r="AF290" i="2"/>
  <c r="Z290" i="2"/>
  <c r="X290" i="2"/>
  <c r="S290" i="2"/>
  <c r="O290" i="2"/>
  <c r="L290" i="2"/>
  <c r="J290" i="2"/>
  <c r="H290" i="2"/>
  <c r="E290" i="2"/>
  <c r="F290" i="2" s="1"/>
  <c r="D290" i="2"/>
  <c r="BH289" i="2"/>
  <c r="AT289" i="2"/>
  <c r="AS289" i="2"/>
  <c r="AL289" i="2"/>
  <c r="AF289" i="2"/>
  <c r="Z289" i="2"/>
  <c r="X289" i="2"/>
  <c r="S289" i="2"/>
  <c r="O289" i="2"/>
  <c r="L289" i="2"/>
  <c r="J289" i="2"/>
  <c r="H289" i="2"/>
  <c r="E289" i="2"/>
  <c r="F289" i="2" s="1"/>
  <c r="D289" i="2"/>
  <c r="BH288" i="2"/>
  <c r="AT288" i="2"/>
  <c r="AS288" i="2"/>
  <c r="AL288" i="2"/>
  <c r="AF288" i="2"/>
  <c r="Z288" i="2"/>
  <c r="X288" i="2"/>
  <c r="S288" i="2"/>
  <c r="O288" i="2"/>
  <c r="L288" i="2"/>
  <c r="J288" i="2"/>
  <c r="H288" i="2"/>
  <c r="E288" i="2"/>
  <c r="F288" i="2" s="1"/>
  <c r="D288" i="2"/>
  <c r="BH287" i="2"/>
  <c r="AT287" i="2"/>
  <c r="AS287" i="2"/>
  <c r="AL287" i="2"/>
  <c r="AF287" i="2"/>
  <c r="Z287" i="2"/>
  <c r="X287" i="2"/>
  <c r="S287" i="2"/>
  <c r="O287" i="2"/>
  <c r="L287" i="2"/>
  <c r="J287" i="2"/>
  <c r="H287" i="2"/>
  <c r="E287" i="2"/>
  <c r="F287" i="2" s="1"/>
  <c r="D287" i="2"/>
  <c r="BH286" i="2"/>
  <c r="AT286" i="2"/>
  <c r="AS286" i="2"/>
  <c r="AL286" i="2"/>
  <c r="AF286" i="2"/>
  <c r="Z286" i="2"/>
  <c r="X286" i="2"/>
  <c r="S286" i="2"/>
  <c r="O286" i="2"/>
  <c r="L286" i="2"/>
  <c r="J286" i="2"/>
  <c r="H286" i="2"/>
  <c r="E286" i="2"/>
  <c r="F286" i="2" s="1"/>
  <c r="D286" i="2"/>
  <c r="BH285" i="2"/>
  <c r="AT285" i="2"/>
  <c r="AS285" i="2"/>
  <c r="AL285" i="2"/>
  <c r="AF285" i="2"/>
  <c r="Z285" i="2"/>
  <c r="X285" i="2"/>
  <c r="S285" i="2"/>
  <c r="O285" i="2"/>
  <c r="L285" i="2"/>
  <c r="J285" i="2"/>
  <c r="H285" i="2"/>
  <c r="E285" i="2"/>
  <c r="F285" i="2" s="1"/>
  <c r="D285" i="2"/>
  <c r="BH284" i="2"/>
  <c r="AT284" i="2"/>
  <c r="AS284" i="2"/>
  <c r="AL284" i="2"/>
  <c r="AF284" i="2"/>
  <c r="Z284" i="2"/>
  <c r="X284" i="2"/>
  <c r="S284" i="2"/>
  <c r="O284" i="2"/>
  <c r="L284" i="2"/>
  <c r="J284" i="2"/>
  <c r="H284" i="2"/>
  <c r="E284" i="2"/>
  <c r="F284" i="2" s="1"/>
  <c r="D284" i="2"/>
  <c r="BH283" i="2"/>
  <c r="AT283" i="2"/>
  <c r="AS283" i="2"/>
  <c r="AL283" i="2"/>
  <c r="AF283" i="2"/>
  <c r="Z283" i="2"/>
  <c r="X283" i="2"/>
  <c r="S283" i="2"/>
  <c r="O283" i="2"/>
  <c r="L283" i="2"/>
  <c r="J283" i="2"/>
  <c r="H283" i="2"/>
  <c r="E283" i="2"/>
  <c r="F283" i="2" s="1"/>
  <c r="D283" i="2"/>
  <c r="BH282" i="2"/>
  <c r="AT282" i="2"/>
  <c r="AS282" i="2"/>
  <c r="AL282" i="2"/>
  <c r="AF282" i="2"/>
  <c r="Z282" i="2"/>
  <c r="X282" i="2"/>
  <c r="S282" i="2"/>
  <c r="O282" i="2"/>
  <c r="L282" i="2"/>
  <c r="J282" i="2"/>
  <c r="H282" i="2"/>
  <c r="E282" i="2"/>
  <c r="F282" i="2" s="1"/>
  <c r="D282" i="2"/>
  <c r="BH281" i="2"/>
  <c r="AT281" i="2"/>
  <c r="AS281" i="2"/>
  <c r="AL281" i="2"/>
  <c r="AF281" i="2"/>
  <c r="Z281" i="2"/>
  <c r="X281" i="2"/>
  <c r="S281" i="2"/>
  <c r="O281" i="2"/>
  <c r="L281" i="2"/>
  <c r="J281" i="2"/>
  <c r="H281" i="2"/>
  <c r="E281" i="2"/>
  <c r="F281" i="2" s="1"/>
  <c r="D281" i="2"/>
  <c r="BH280" i="2"/>
  <c r="AT280" i="2"/>
  <c r="AS280" i="2"/>
  <c r="AL280" i="2"/>
  <c r="AF280" i="2"/>
  <c r="Z280" i="2"/>
  <c r="X280" i="2"/>
  <c r="S280" i="2"/>
  <c r="O280" i="2"/>
  <c r="L280" i="2"/>
  <c r="J280" i="2"/>
  <c r="H280" i="2"/>
  <c r="E280" i="2"/>
  <c r="F280" i="2" s="1"/>
  <c r="D280" i="2"/>
  <c r="BH279" i="2"/>
  <c r="AT279" i="2"/>
  <c r="AS279" i="2"/>
  <c r="AL279" i="2"/>
  <c r="AF279" i="2"/>
  <c r="Z279" i="2"/>
  <c r="X279" i="2"/>
  <c r="S279" i="2"/>
  <c r="O279" i="2"/>
  <c r="L279" i="2"/>
  <c r="J279" i="2"/>
  <c r="H279" i="2"/>
  <c r="E279" i="2"/>
  <c r="F279" i="2" s="1"/>
  <c r="D279" i="2"/>
  <c r="BH278" i="2"/>
  <c r="AT278" i="2"/>
  <c r="AS278" i="2"/>
  <c r="AL278" i="2"/>
  <c r="AF278" i="2"/>
  <c r="Z278" i="2"/>
  <c r="X278" i="2"/>
  <c r="S278" i="2"/>
  <c r="O278" i="2"/>
  <c r="L278" i="2"/>
  <c r="J278" i="2"/>
  <c r="H278" i="2"/>
  <c r="E278" i="2"/>
  <c r="F278" i="2" s="1"/>
  <c r="D278" i="2"/>
  <c r="BH277" i="2"/>
  <c r="AT277" i="2"/>
  <c r="AS277" i="2"/>
  <c r="AL277" i="2"/>
  <c r="AF277" i="2"/>
  <c r="Z277" i="2"/>
  <c r="X277" i="2"/>
  <c r="S277" i="2"/>
  <c r="O277" i="2"/>
  <c r="L277" i="2"/>
  <c r="J277" i="2"/>
  <c r="H277" i="2"/>
  <c r="E277" i="2"/>
  <c r="F277" i="2" s="1"/>
  <c r="D277" i="2"/>
  <c r="BH276" i="2"/>
  <c r="AT276" i="2"/>
  <c r="AS276" i="2"/>
  <c r="AL276" i="2"/>
  <c r="AF276" i="2"/>
  <c r="Z276" i="2"/>
  <c r="X276" i="2"/>
  <c r="S276" i="2"/>
  <c r="O276" i="2"/>
  <c r="L276" i="2"/>
  <c r="J276" i="2"/>
  <c r="H276" i="2"/>
  <c r="E276" i="2"/>
  <c r="F276" i="2" s="1"/>
  <c r="D276" i="2"/>
  <c r="BH275" i="2"/>
  <c r="AT275" i="2"/>
  <c r="AS275" i="2"/>
  <c r="AL275" i="2"/>
  <c r="AF275" i="2"/>
  <c r="Z275" i="2"/>
  <c r="X275" i="2"/>
  <c r="S275" i="2"/>
  <c r="O275" i="2"/>
  <c r="L275" i="2"/>
  <c r="J275" i="2"/>
  <c r="H275" i="2"/>
  <c r="E275" i="2"/>
  <c r="F275" i="2" s="1"/>
  <c r="D275" i="2"/>
  <c r="BH274" i="2"/>
  <c r="AT274" i="2"/>
  <c r="AS274" i="2"/>
  <c r="AL274" i="2"/>
  <c r="AF274" i="2"/>
  <c r="Z274" i="2"/>
  <c r="X274" i="2"/>
  <c r="S274" i="2"/>
  <c r="O274" i="2"/>
  <c r="L274" i="2"/>
  <c r="J274" i="2"/>
  <c r="H274" i="2"/>
  <c r="E274" i="2"/>
  <c r="F274" i="2" s="1"/>
  <c r="D274" i="2"/>
  <c r="BH273" i="2"/>
  <c r="AT273" i="2"/>
  <c r="AS273" i="2"/>
  <c r="AL273" i="2"/>
  <c r="AF273" i="2"/>
  <c r="Z273" i="2"/>
  <c r="X273" i="2"/>
  <c r="S273" i="2"/>
  <c r="O273" i="2"/>
  <c r="L273" i="2"/>
  <c r="J273" i="2"/>
  <c r="H273" i="2"/>
  <c r="E273" i="2"/>
  <c r="F273" i="2" s="1"/>
  <c r="D273" i="2"/>
  <c r="BH272" i="2"/>
  <c r="AT272" i="2"/>
  <c r="AS272" i="2"/>
  <c r="AL272" i="2"/>
  <c r="AF272" i="2"/>
  <c r="Z272" i="2"/>
  <c r="X272" i="2"/>
  <c r="S272" i="2"/>
  <c r="O272" i="2"/>
  <c r="L272" i="2"/>
  <c r="J272" i="2"/>
  <c r="H272" i="2"/>
  <c r="E272" i="2"/>
  <c r="F272" i="2" s="1"/>
  <c r="D272" i="2"/>
  <c r="BH271" i="2"/>
  <c r="AT271" i="2"/>
  <c r="AS271" i="2"/>
  <c r="AL271" i="2"/>
  <c r="AF271" i="2"/>
  <c r="Z271" i="2"/>
  <c r="X271" i="2"/>
  <c r="S271" i="2"/>
  <c r="O271" i="2"/>
  <c r="L271" i="2"/>
  <c r="J271" i="2"/>
  <c r="H271" i="2"/>
  <c r="E271" i="2"/>
  <c r="F271" i="2" s="1"/>
  <c r="D271" i="2"/>
  <c r="BH270" i="2"/>
  <c r="AT270" i="2"/>
  <c r="AS270" i="2"/>
  <c r="AL270" i="2"/>
  <c r="AF270" i="2"/>
  <c r="Z270" i="2"/>
  <c r="X270" i="2"/>
  <c r="S270" i="2"/>
  <c r="O270" i="2"/>
  <c r="L270" i="2"/>
  <c r="J270" i="2"/>
  <c r="H270" i="2"/>
  <c r="E270" i="2"/>
  <c r="F270" i="2" s="1"/>
  <c r="D270" i="2"/>
  <c r="BH269" i="2"/>
  <c r="AT269" i="2"/>
  <c r="AS269" i="2"/>
  <c r="AL269" i="2"/>
  <c r="AF269" i="2"/>
  <c r="Z269" i="2"/>
  <c r="X269" i="2"/>
  <c r="S269" i="2"/>
  <c r="O269" i="2"/>
  <c r="L269" i="2"/>
  <c r="J269" i="2"/>
  <c r="H269" i="2"/>
  <c r="E269" i="2"/>
  <c r="F269" i="2" s="1"/>
  <c r="D269" i="2"/>
  <c r="BH268" i="2"/>
  <c r="AT268" i="2"/>
  <c r="AS268" i="2"/>
  <c r="AL268" i="2"/>
  <c r="AF268" i="2"/>
  <c r="Z268" i="2"/>
  <c r="X268" i="2"/>
  <c r="S268" i="2"/>
  <c r="O268" i="2"/>
  <c r="L268" i="2"/>
  <c r="J268" i="2"/>
  <c r="H268" i="2"/>
  <c r="E268" i="2"/>
  <c r="F268" i="2" s="1"/>
  <c r="D268" i="2"/>
  <c r="BH267" i="2"/>
  <c r="AT267" i="2"/>
  <c r="AS267" i="2"/>
  <c r="AL267" i="2"/>
  <c r="AF267" i="2"/>
  <c r="Z267" i="2"/>
  <c r="X267" i="2"/>
  <c r="S267" i="2"/>
  <c r="O267" i="2"/>
  <c r="L267" i="2"/>
  <c r="J267" i="2"/>
  <c r="H267" i="2"/>
  <c r="E267" i="2"/>
  <c r="F267" i="2" s="1"/>
  <c r="D267" i="2"/>
  <c r="BH266" i="2"/>
  <c r="AT266" i="2"/>
  <c r="AS266" i="2"/>
  <c r="AL266" i="2"/>
  <c r="AF266" i="2"/>
  <c r="Z266" i="2"/>
  <c r="X266" i="2"/>
  <c r="S266" i="2"/>
  <c r="O266" i="2"/>
  <c r="L266" i="2"/>
  <c r="J266" i="2"/>
  <c r="H266" i="2"/>
  <c r="E266" i="2"/>
  <c r="F266" i="2" s="1"/>
  <c r="D266" i="2"/>
  <c r="BH265" i="2"/>
  <c r="AT265" i="2"/>
  <c r="AS265" i="2"/>
  <c r="AL265" i="2"/>
  <c r="AF265" i="2"/>
  <c r="Z265" i="2"/>
  <c r="X265" i="2"/>
  <c r="S265" i="2"/>
  <c r="O265" i="2"/>
  <c r="L265" i="2"/>
  <c r="J265" i="2"/>
  <c r="H265" i="2"/>
  <c r="E265" i="2"/>
  <c r="F265" i="2" s="1"/>
  <c r="D265" i="2"/>
  <c r="BH264" i="2"/>
  <c r="AT264" i="2"/>
  <c r="AS264" i="2"/>
  <c r="AL264" i="2"/>
  <c r="AF264" i="2"/>
  <c r="Z264" i="2"/>
  <c r="X264" i="2"/>
  <c r="S264" i="2"/>
  <c r="O264" i="2"/>
  <c r="L264" i="2"/>
  <c r="J264" i="2"/>
  <c r="H264" i="2"/>
  <c r="E264" i="2"/>
  <c r="F264" i="2" s="1"/>
  <c r="D264" i="2"/>
  <c r="BH263" i="2"/>
  <c r="AT263" i="2"/>
  <c r="AS263" i="2"/>
  <c r="AL263" i="2"/>
  <c r="AF263" i="2"/>
  <c r="Z263" i="2"/>
  <c r="X263" i="2"/>
  <c r="S263" i="2"/>
  <c r="O263" i="2"/>
  <c r="L263" i="2"/>
  <c r="J263" i="2"/>
  <c r="H263" i="2"/>
  <c r="E263" i="2"/>
  <c r="F263" i="2" s="1"/>
  <c r="D263" i="2"/>
  <c r="BH262" i="2"/>
  <c r="AT262" i="2"/>
  <c r="AS262" i="2"/>
  <c r="AL262" i="2"/>
  <c r="AF262" i="2"/>
  <c r="Z262" i="2"/>
  <c r="X262" i="2"/>
  <c r="S262" i="2"/>
  <c r="O262" i="2"/>
  <c r="L262" i="2"/>
  <c r="J262" i="2"/>
  <c r="H262" i="2"/>
  <c r="E262" i="2"/>
  <c r="F262" i="2" s="1"/>
  <c r="D262" i="2"/>
  <c r="BH261" i="2"/>
  <c r="AT261" i="2"/>
  <c r="AS261" i="2"/>
  <c r="AL261" i="2"/>
  <c r="AF261" i="2"/>
  <c r="Z261" i="2"/>
  <c r="X261" i="2"/>
  <c r="S261" i="2"/>
  <c r="O261" i="2"/>
  <c r="L261" i="2"/>
  <c r="J261" i="2"/>
  <c r="H261" i="2"/>
  <c r="E261" i="2"/>
  <c r="F261" i="2" s="1"/>
  <c r="D261" i="2"/>
  <c r="BH260" i="2"/>
  <c r="AT260" i="2"/>
  <c r="AS260" i="2"/>
  <c r="AL260" i="2"/>
  <c r="AF260" i="2"/>
  <c r="Z260" i="2"/>
  <c r="X260" i="2"/>
  <c r="S260" i="2"/>
  <c r="O260" i="2"/>
  <c r="L260" i="2"/>
  <c r="J260" i="2"/>
  <c r="H260" i="2"/>
  <c r="E260" i="2"/>
  <c r="F260" i="2" s="1"/>
  <c r="D260" i="2"/>
  <c r="BH259" i="2"/>
  <c r="AT259" i="2"/>
  <c r="AS259" i="2"/>
  <c r="AL259" i="2"/>
  <c r="AF259" i="2"/>
  <c r="Z259" i="2"/>
  <c r="X259" i="2"/>
  <c r="S259" i="2"/>
  <c r="O259" i="2"/>
  <c r="L259" i="2"/>
  <c r="J259" i="2"/>
  <c r="H259" i="2"/>
  <c r="E259" i="2"/>
  <c r="F259" i="2" s="1"/>
  <c r="D259" i="2"/>
  <c r="BH258" i="2"/>
  <c r="AT258" i="2"/>
  <c r="AS258" i="2"/>
  <c r="AL258" i="2"/>
  <c r="AF258" i="2"/>
  <c r="Z258" i="2"/>
  <c r="X258" i="2"/>
  <c r="S258" i="2"/>
  <c r="O258" i="2"/>
  <c r="L258" i="2"/>
  <c r="J258" i="2"/>
  <c r="H258" i="2"/>
  <c r="E258" i="2"/>
  <c r="F258" i="2" s="1"/>
  <c r="D258" i="2"/>
  <c r="BH257" i="2"/>
  <c r="AT257" i="2"/>
  <c r="AS257" i="2"/>
  <c r="AL257" i="2"/>
  <c r="AF257" i="2"/>
  <c r="Z257" i="2"/>
  <c r="X257" i="2"/>
  <c r="S257" i="2"/>
  <c r="O257" i="2"/>
  <c r="L257" i="2"/>
  <c r="J257" i="2"/>
  <c r="H257" i="2"/>
  <c r="E257" i="2"/>
  <c r="F257" i="2" s="1"/>
  <c r="D257" i="2"/>
  <c r="BH256" i="2"/>
  <c r="AT256" i="2"/>
  <c r="AS256" i="2"/>
  <c r="AL256" i="2"/>
  <c r="AF256" i="2"/>
  <c r="Z256" i="2"/>
  <c r="X256" i="2"/>
  <c r="S256" i="2"/>
  <c r="O256" i="2"/>
  <c r="L256" i="2"/>
  <c r="J256" i="2"/>
  <c r="H256" i="2"/>
  <c r="E256" i="2"/>
  <c r="F256" i="2" s="1"/>
  <c r="D256" i="2"/>
  <c r="BH255" i="2"/>
  <c r="AT255" i="2"/>
  <c r="AS255" i="2"/>
  <c r="AL255" i="2"/>
  <c r="AF255" i="2"/>
  <c r="Z255" i="2"/>
  <c r="X255" i="2"/>
  <c r="S255" i="2"/>
  <c r="O255" i="2"/>
  <c r="L255" i="2"/>
  <c r="J255" i="2"/>
  <c r="H255" i="2"/>
  <c r="E255" i="2"/>
  <c r="F255" i="2" s="1"/>
  <c r="D255" i="2"/>
  <c r="BH254" i="2"/>
  <c r="AT254" i="2"/>
  <c r="AS254" i="2"/>
  <c r="AL254" i="2"/>
  <c r="AF254" i="2"/>
  <c r="Z254" i="2"/>
  <c r="X254" i="2"/>
  <c r="S254" i="2"/>
  <c r="O254" i="2"/>
  <c r="L254" i="2"/>
  <c r="J254" i="2"/>
  <c r="H254" i="2"/>
  <c r="E254" i="2"/>
  <c r="F254" i="2" s="1"/>
  <c r="D254" i="2"/>
  <c r="BH253" i="2"/>
  <c r="AT253" i="2"/>
  <c r="AS253" i="2"/>
  <c r="AL253" i="2"/>
  <c r="AF253" i="2"/>
  <c r="Z253" i="2"/>
  <c r="X253" i="2"/>
  <c r="S253" i="2"/>
  <c r="O253" i="2"/>
  <c r="L253" i="2"/>
  <c r="J253" i="2"/>
  <c r="H253" i="2"/>
  <c r="E253" i="2"/>
  <c r="F253" i="2" s="1"/>
  <c r="D253" i="2"/>
  <c r="BH252" i="2"/>
  <c r="AT252" i="2"/>
  <c r="AS252" i="2"/>
  <c r="AL252" i="2"/>
  <c r="AF252" i="2"/>
  <c r="Z252" i="2"/>
  <c r="X252" i="2"/>
  <c r="S252" i="2"/>
  <c r="O252" i="2"/>
  <c r="L252" i="2"/>
  <c r="J252" i="2"/>
  <c r="H252" i="2"/>
  <c r="E252" i="2"/>
  <c r="F252" i="2" s="1"/>
  <c r="D252" i="2"/>
  <c r="BH251" i="2"/>
  <c r="AT251" i="2"/>
  <c r="AS251" i="2"/>
  <c r="AL251" i="2"/>
  <c r="AF251" i="2"/>
  <c r="Z251" i="2"/>
  <c r="X251" i="2"/>
  <c r="S251" i="2"/>
  <c r="O251" i="2"/>
  <c r="L251" i="2"/>
  <c r="J251" i="2"/>
  <c r="H251" i="2"/>
  <c r="E251" i="2"/>
  <c r="F251" i="2" s="1"/>
  <c r="D251" i="2"/>
  <c r="BH250" i="2"/>
  <c r="AT250" i="2"/>
  <c r="AS250" i="2"/>
  <c r="AL250" i="2"/>
  <c r="AF250" i="2"/>
  <c r="Z250" i="2"/>
  <c r="X250" i="2"/>
  <c r="S250" i="2"/>
  <c r="O250" i="2"/>
  <c r="L250" i="2"/>
  <c r="J250" i="2"/>
  <c r="H250" i="2"/>
  <c r="E250" i="2"/>
  <c r="F250" i="2" s="1"/>
  <c r="D250" i="2"/>
  <c r="BH249" i="2"/>
  <c r="AT249" i="2"/>
  <c r="AS249" i="2"/>
  <c r="AL249" i="2"/>
  <c r="AF249" i="2"/>
  <c r="Z249" i="2"/>
  <c r="X249" i="2"/>
  <c r="S249" i="2"/>
  <c r="O249" i="2"/>
  <c r="L249" i="2"/>
  <c r="J249" i="2"/>
  <c r="H249" i="2"/>
  <c r="E249" i="2"/>
  <c r="F249" i="2" s="1"/>
  <c r="D249" i="2"/>
  <c r="BH248" i="2"/>
  <c r="AT248" i="2"/>
  <c r="AS248" i="2"/>
  <c r="AL248" i="2"/>
  <c r="AF248" i="2"/>
  <c r="Z248" i="2"/>
  <c r="X248" i="2"/>
  <c r="S248" i="2"/>
  <c r="O248" i="2"/>
  <c r="L248" i="2"/>
  <c r="J248" i="2"/>
  <c r="H248" i="2"/>
  <c r="E248" i="2"/>
  <c r="F248" i="2" s="1"/>
  <c r="D248" i="2"/>
  <c r="BH247" i="2"/>
  <c r="AT247" i="2"/>
  <c r="AS247" i="2"/>
  <c r="AL247" i="2"/>
  <c r="AF247" i="2"/>
  <c r="Z247" i="2"/>
  <c r="X247" i="2"/>
  <c r="S247" i="2"/>
  <c r="O247" i="2"/>
  <c r="L247" i="2"/>
  <c r="J247" i="2"/>
  <c r="H247" i="2"/>
  <c r="E247" i="2"/>
  <c r="F247" i="2" s="1"/>
  <c r="D247" i="2"/>
  <c r="BH246" i="2"/>
  <c r="AT246" i="2"/>
  <c r="AS246" i="2"/>
  <c r="AL246" i="2"/>
  <c r="AF246" i="2"/>
  <c r="Z246" i="2"/>
  <c r="X246" i="2"/>
  <c r="S246" i="2"/>
  <c r="O246" i="2"/>
  <c r="L246" i="2"/>
  <c r="J246" i="2"/>
  <c r="H246" i="2"/>
  <c r="E246" i="2"/>
  <c r="F246" i="2" s="1"/>
  <c r="D246" i="2"/>
  <c r="BH245" i="2"/>
  <c r="AT245" i="2"/>
  <c r="AS245" i="2"/>
  <c r="AL245" i="2"/>
  <c r="AF245" i="2"/>
  <c r="Z245" i="2"/>
  <c r="X245" i="2"/>
  <c r="S245" i="2"/>
  <c r="O245" i="2"/>
  <c r="L245" i="2"/>
  <c r="J245" i="2"/>
  <c r="H245" i="2"/>
  <c r="E245" i="2"/>
  <c r="F245" i="2" s="1"/>
  <c r="D245" i="2"/>
  <c r="BH244" i="2"/>
  <c r="AT244" i="2"/>
  <c r="AS244" i="2"/>
  <c r="AL244" i="2"/>
  <c r="AF244" i="2"/>
  <c r="Z244" i="2"/>
  <c r="X244" i="2"/>
  <c r="S244" i="2"/>
  <c r="O244" i="2"/>
  <c r="L244" i="2"/>
  <c r="J244" i="2"/>
  <c r="H244" i="2"/>
  <c r="E244" i="2"/>
  <c r="F244" i="2" s="1"/>
  <c r="D244" i="2"/>
  <c r="BH243" i="2"/>
  <c r="AT243" i="2"/>
  <c r="AS243" i="2"/>
  <c r="AL243" i="2"/>
  <c r="AF243" i="2"/>
  <c r="Z243" i="2"/>
  <c r="X243" i="2"/>
  <c r="S243" i="2"/>
  <c r="O243" i="2"/>
  <c r="L243" i="2"/>
  <c r="J243" i="2"/>
  <c r="H243" i="2"/>
  <c r="E243" i="2"/>
  <c r="F243" i="2" s="1"/>
  <c r="D243" i="2"/>
  <c r="BH242" i="2"/>
  <c r="AT242" i="2"/>
  <c r="AS242" i="2"/>
  <c r="AL242" i="2"/>
  <c r="AF242" i="2"/>
  <c r="Z242" i="2"/>
  <c r="X242" i="2"/>
  <c r="S242" i="2"/>
  <c r="O242" i="2"/>
  <c r="L242" i="2"/>
  <c r="J242" i="2"/>
  <c r="H242" i="2"/>
  <c r="E242" i="2"/>
  <c r="F242" i="2" s="1"/>
  <c r="D242" i="2"/>
  <c r="BH241" i="2"/>
  <c r="AT241" i="2"/>
  <c r="AS241" i="2"/>
  <c r="AL241" i="2"/>
  <c r="AF241" i="2"/>
  <c r="Z241" i="2"/>
  <c r="X241" i="2"/>
  <c r="S241" i="2"/>
  <c r="O241" i="2"/>
  <c r="L241" i="2"/>
  <c r="J241" i="2"/>
  <c r="H241" i="2"/>
  <c r="E241" i="2"/>
  <c r="F241" i="2" s="1"/>
  <c r="D241" i="2"/>
  <c r="BH240" i="2"/>
  <c r="AT240" i="2"/>
  <c r="AS240" i="2"/>
  <c r="AL240" i="2"/>
  <c r="AF240" i="2"/>
  <c r="Z240" i="2"/>
  <c r="X240" i="2"/>
  <c r="S240" i="2"/>
  <c r="O240" i="2"/>
  <c r="L240" i="2"/>
  <c r="J240" i="2"/>
  <c r="H240" i="2"/>
  <c r="E240" i="2"/>
  <c r="F240" i="2" s="1"/>
  <c r="D240" i="2"/>
  <c r="BH239" i="2"/>
  <c r="AT239" i="2"/>
  <c r="AS239" i="2"/>
  <c r="AL239" i="2"/>
  <c r="AF239" i="2"/>
  <c r="Z239" i="2"/>
  <c r="X239" i="2"/>
  <c r="S239" i="2"/>
  <c r="O239" i="2"/>
  <c r="L239" i="2"/>
  <c r="J239" i="2"/>
  <c r="H239" i="2"/>
  <c r="E239" i="2"/>
  <c r="F239" i="2" s="1"/>
  <c r="D239" i="2"/>
  <c r="BH238" i="2"/>
  <c r="AT238" i="2"/>
  <c r="AS238" i="2"/>
  <c r="AL238" i="2"/>
  <c r="AF238" i="2"/>
  <c r="Z238" i="2"/>
  <c r="X238" i="2"/>
  <c r="S238" i="2"/>
  <c r="O238" i="2"/>
  <c r="L238" i="2"/>
  <c r="J238" i="2"/>
  <c r="H238" i="2"/>
  <c r="E238" i="2"/>
  <c r="F238" i="2" s="1"/>
  <c r="D238" i="2"/>
  <c r="BH237" i="2"/>
  <c r="AT237" i="2"/>
  <c r="AS237" i="2"/>
  <c r="AL237" i="2"/>
  <c r="AF237" i="2"/>
  <c r="Z237" i="2"/>
  <c r="X237" i="2"/>
  <c r="S237" i="2"/>
  <c r="O237" i="2"/>
  <c r="L237" i="2"/>
  <c r="J237" i="2"/>
  <c r="H237" i="2"/>
  <c r="E237" i="2"/>
  <c r="F237" i="2" s="1"/>
  <c r="D237" i="2"/>
  <c r="BH236" i="2"/>
  <c r="AT236" i="2"/>
  <c r="AS236" i="2"/>
  <c r="AL236" i="2"/>
  <c r="AF236" i="2"/>
  <c r="Z236" i="2"/>
  <c r="X236" i="2"/>
  <c r="S236" i="2"/>
  <c r="O236" i="2"/>
  <c r="L236" i="2"/>
  <c r="J236" i="2"/>
  <c r="H236" i="2"/>
  <c r="E236" i="2"/>
  <c r="F236" i="2" s="1"/>
  <c r="D236" i="2"/>
  <c r="BH235" i="2"/>
  <c r="AT235" i="2"/>
  <c r="AS235" i="2"/>
  <c r="AL235" i="2"/>
  <c r="AF235" i="2"/>
  <c r="Z235" i="2"/>
  <c r="X235" i="2"/>
  <c r="S235" i="2"/>
  <c r="O235" i="2"/>
  <c r="L235" i="2"/>
  <c r="J235" i="2"/>
  <c r="H235" i="2"/>
  <c r="E235" i="2"/>
  <c r="F235" i="2" s="1"/>
  <c r="D235" i="2"/>
  <c r="BH234" i="2"/>
  <c r="AT234" i="2"/>
  <c r="AS234" i="2"/>
  <c r="AL234" i="2"/>
  <c r="AF234" i="2"/>
  <c r="Z234" i="2"/>
  <c r="X234" i="2"/>
  <c r="S234" i="2"/>
  <c r="O234" i="2"/>
  <c r="L234" i="2"/>
  <c r="J234" i="2"/>
  <c r="H234" i="2"/>
  <c r="E234" i="2"/>
  <c r="F234" i="2" s="1"/>
  <c r="D234" i="2"/>
  <c r="BH233" i="2"/>
  <c r="AT233" i="2"/>
  <c r="AS233" i="2"/>
  <c r="AL233" i="2"/>
  <c r="AF233" i="2"/>
  <c r="Z233" i="2"/>
  <c r="X233" i="2"/>
  <c r="S233" i="2"/>
  <c r="O233" i="2"/>
  <c r="L233" i="2"/>
  <c r="J233" i="2"/>
  <c r="H233" i="2"/>
  <c r="E233" i="2"/>
  <c r="F233" i="2" s="1"/>
  <c r="D233" i="2"/>
  <c r="BH232" i="2"/>
  <c r="AT232" i="2"/>
  <c r="AS232" i="2"/>
  <c r="AL232" i="2"/>
  <c r="AF232" i="2"/>
  <c r="Z232" i="2"/>
  <c r="X232" i="2"/>
  <c r="S232" i="2"/>
  <c r="O232" i="2"/>
  <c r="L232" i="2"/>
  <c r="J232" i="2"/>
  <c r="H232" i="2"/>
  <c r="E232" i="2"/>
  <c r="F232" i="2" s="1"/>
  <c r="D232" i="2"/>
  <c r="BH231" i="2"/>
  <c r="AT231" i="2"/>
  <c r="AS231" i="2"/>
  <c r="AL231" i="2"/>
  <c r="AF231" i="2"/>
  <c r="Z231" i="2"/>
  <c r="X231" i="2"/>
  <c r="S231" i="2"/>
  <c r="O231" i="2"/>
  <c r="L231" i="2"/>
  <c r="J231" i="2"/>
  <c r="H231" i="2"/>
  <c r="E231" i="2"/>
  <c r="F231" i="2" s="1"/>
  <c r="D231" i="2"/>
  <c r="BH230" i="2"/>
  <c r="AT230" i="2"/>
  <c r="AS230" i="2"/>
  <c r="AL230" i="2"/>
  <c r="AF230" i="2"/>
  <c r="Z230" i="2"/>
  <c r="X230" i="2"/>
  <c r="S230" i="2"/>
  <c r="O230" i="2"/>
  <c r="L230" i="2"/>
  <c r="J230" i="2"/>
  <c r="H230" i="2"/>
  <c r="E230" i="2"/>
  <c r="F230" i="2" s="1"/>
  <c r="D230" i="2"/>
  <c r="BH229" i="2"/>
  <c r="AT229" i="2"/>
  <c r="AS229" i="2"/>
  <c r="AL229" i="2"/>
  <c r="AF229" i="2"/>
  <c r="Z229" i="2"/>
  <c r="X229" i="2"/>
  <c r="S229" i="2"/>
  <c r="O229" i="2"/>
  <c r="L229" i="2"/>
  <c r="J229" i="2"/>
  <c r="H229" i="2"/>
  <c r="E229" i="2"/>
  <c r="F229" i="2" s="1"/>
  <c r="D229" i="2"/>
  <c r="BH228" i="2"/>
  <c r="AT228" i="2"/>
  <c r="AS228" i="2"/>
  <c r="AL228" i="2"/>
  <c r="AF228" i="2"/>
  <c r="Z228" i="2"/>
  <c r="X228" i="2"/>
  <c r="S228" i="2"/>
  <c r="O228" i="2"/>
  <c r="L228" i="2"/>
  <c r="J228" i="2"/>
  <c r="H228" i="2"/>
  <c r="E228" i="2"/>
  <c r="F228" i="2" s="1"/>
  <c r="D228" i="2"/>
  <c r="BH227" i="2"/>
  <c r="AT227" i="2"/>
  <c r="AS227" i="2"/>
  <c r="AL227" i="2"/>
  <c r="AF227" i="2"/>
  <c r="Z227" i="2"/>
  <c r="X227" i="2"/>
  <c r="S227" i="2"/>
  <c r="O227" i="2"/>
  <c r="L227" i="2"/>
  <c r="J227" i="2"/>
  <c r="H227" i="2"/>
  <c r="E227" i="2"/>
  <c r="F227" i="2" s="1"/>
  <c r="D227" i="2"/>
  <c r="BH226" i="2"/>
  <c r="AT226" i="2"/>
  <c r="AS226" i="2"/>
  <c r="AL226" i="2"/>
  <c r="AF226" i="2"/>
  <c r="Z226" i="2"/>
  <c r="X226" i="2"/>
  <c r="S226" i="2"/>
  <c r="O226" i="2"/>
  <c r="L226" i="2"/>
  <c r="J226" i="2"/>
  <c r="H226" i="2"/>
  <c r="E226" i="2"/>
  <c r="F226" i="2" s="1"/>
  <c r="D226" i="2"/>
  <c r="BH225" i="2"/>
  <c r="AT225" i="2"/>
  <c r="AS225" i="2"/>
  <c r="AL225" i="2"/>
  <c r="AF225" i="2"/>
  <c r="Z225" i="2"/>
  <c r="X225" i="2"/>
  <c r="S225" i="2"/>
  <c r="O225" i="2"/>
  <c r="L225" i="2"/>
  <c r="J225" i="2"/>
  <c r="H225" i="2"/>
  <c r="E225" i="2"/>
  <c r="F225" i="2" s="1"/>
  <c r="D225" i="2"/>
  <c r="BH224" i="2"/>
  <c r="AT224" i="2"/>
  <c r="AS224" i="2"/>
  <c r="AL224" i="2"/>
  <c r="AF224" i="2"/>
  <c r="Z224" i="2"/>
  <c r="X224" i="2"/>
  <c r="S224" i="2"/>
  <c r="O224" i="2"/>
  <c r="L224" i="2"/>
  <c r="J224" i="2"/>
  <c r="H224" i="2"/>
  <c r="E224" i="2"/>
  <c r="F224" i="2" s="1"/>
  <c r="D224" i="2"/>
  <c r="BH223" i="2"/>
  <c r="AT223" i="2"/>
  <c r="AS223" i="2"/>
  <c r="AL223" i="2"/>
  <c r="AF223" i="2"/>
  <c r="Z223" i="2"/>
  <c r="X223" i="2"/>
  <c r="S223" i="2"/>
  <c r="O223" i="2"/>
  <c r="L223" i="2"/>
  <c r="J223" i="2"/>
  <c r="H223" i="2"/>
  <c r="E223" i="2"/>
  <c r="F223" i="2" s="1"/>
  <c r="D223" i="2"/>
  <c r="BH222" i="2"/>
  <c r="AT222" i="2"/>
  <c r="AS222" i="2"/>
  <c r="AL222" i="2"/>
  <c r="AF222" i="2"/>
  <c r="Z222" i="2"/>
  <c r="X222" i="2"/>
  <c r="S222" i="2"/>
  <c r="O222" i="2"/>
  <c r="L222" i="2"/>
  <c r="J222" i="2"/>
  <c r="H222" i="2"/>
  <c r="E222" i="2"/>
  <c r="F222" i="2" s="1"/>
  <c r="D222" i="2"/>
  <c r="BH221" i="2"/>
  <c r="AT221" i="2"/>
  <c r="AS221" i="2"/>
  <c r="AL221" i="2"/>
  <c r="AF221" i="2"/>
  <c r="Z221" i="2"/>
  <c r="X221" i="2"/>
  <c r="S221" i="2"/>
  <c r="O221" i="2"/>
  <c r="L221" i="2"/>
  <c r="J221" i="2"/>
  <c r="H221" i="2"/>
  <c r="E221" i="2"/>
  <c r="F221" i="2" s="1"/>
  <c r="D221" i="2"/>
  <c r="BH220" i="2"/>
  <c r="AT220" i="2"/>
  <c r="AS220" i="2"/>
  <c r="AL220" i="2"/>
  <c r="AF220" i="2"/>
  <c r="Z220" i="2"/>
  <c r="X220" i="2"/>
  <c r="S220" i="2"/>
  <c r="O220" i="2"/>
  <c r="L220" i="2"/>
  <c r="J220" i="2"/>
  <c r="H220" i="2"/>
  <c r="E220" i="2"/>
  <c r="F220" i="2" s="1"/>
  <c r="D220" i="2"/>
  <c r="BH219" i="2"/>
  <c r="AT219" i="2"/>
  <c r="AS219" i="2"/>
  <c r="AL219" i="2"/>
  <c r="AF219" i="2"/>
  <c r="Z219" i="2"/>
  <c r="X219" i="2"/>
  <c r="S219" i="2"/>
  <c r="O219" i="2"/>
  <c r="L219" i="2"/>
  <c r="J219" i="2"/>
  <c r="H219" i="2"/>
  <c r="E219" i="2"/>
  <c r="F219" i="2" s="1"/>
  <c r="D219" i="2"/>
  <c r="BH218" i="2"/>
  <c r="AT218" i="2"/>
  <c r="AS218" i="2"/>
  <c r="AL218" i="2"/>
  <c r="AF218" i="2"/>
  <c r="Z218" i="2"/>
  <c r="X218" i="2"/>
  <c r="S218" i="2"/>
  <c r="O218" i="2"/>
  <c r="L218" i="2"/>
  <c r="J218" i="2"/>
  <c r="H218" i="2"/>
  <c r="E218" i="2"/>
  <c r="F218" i="2" s="1"/>
  <c r="D218" i="2"/>
  <c r="BH217" i="2"/>
  <c r="AT217" i="2"/>
  <c r="AS217" i="2"/>
  <c r="AL217" i="2"/>
  <c r="AF217" i="2"/>
  <c r="Z217" i="2"/>
  <c r="X217" i="2"/>
  <c r="S217" i="2"/>
  <c r="O217" i="2"/>
  <c r="L217" i="2"/>
  <c r="J217" i="2"/>
  <c r="H217" i="2"/>
  <c r="E217" i="2"/>
  <c r="F217" i="2" s="1"/>
  <c r="D217" i="2"/>
  <c r="BH216" i="2"/>
  <c r="AT216" i="2"/>
  <c r="AS216" i="2"/>
  <c r="AL216" i="2"/>
  <c r="AF216" i="2"/>
  <c r="Z216" i="2"/>
  <c r="X216" i="2"/>
  <c r="S216" i="2"/>
  <c r="O216" i="2"/>
  <c r="L216" i="2"/>
  <c r="J216" i="2"/>
  <c r="H216" i="2"/>
  <c r="E216" i="2"/>
  <c r="F216" i="2" s="1"/>
  <c r="D216" i="2"/>
  <c r="BH215" i="2"/>
  <c r="AT215" i="2"/>
  <c r="AS215" i="2"/>
  <c r="AL215" i="2"/>
  <c r="AF215" i="2"/>
  <c r="Z215" i="2"/>
  <c r="X215" i="2"/>
  <c r="S215" i="2"/>
  <c r="O215" i="2"/>
  <c r="L215" i="2"/>
  <c r="J215" i="2"/>
  <c r="H215" i="2"/>
  <c r="E215" i="2"/>
  <c r="F215" i="2" s="1"/>
  <c r="D215" i="2"/>
  <c r="BH214" i="2"/>
  <c r="AT214" i="2"/>
  <c r="AS214" i="2"/>
  <c r="AL214" i="2"/>
  <c r="AF214" i="2"/>
  <c r="Z214" i="2"/>
  <c r="X214" i="2"/>
  <c r="S214" i="2"/>
  <c r="O214" i="2"/>
  <c r="L214" i="2"/>
  <c r="J214" i="2"/>
  <c r="H214" i="2"/>
  <c r="E214" i="2"/>
  <c r="F214" i="2" s="1"/>
  <c r="D214" i="2"/>
  <c r="BH213" i="2"/>
  <c r="AT213" i="2"/>
  <c r="AS213" i="2"/>
  <c r="AL213" i="2"/>
  <c r="AF213" i="2"/>
  <c r="Z213" i="2"/>
  <c r="X213" i="2"/>
  <c r="S213" i="2"/>
  <c r="O213" i="2"/>
  <c r="L213" i="2"/>
  <c r="J213" i="2"/>
  <c r="H213" i="2"/>
  <c r="E213" i="2"/>
  <c r="F213" i="2" s="1"/>
  <c r="D213" i="2"/>
  <c r="BH212" i="2"/>
  <c r="AT212" i="2"/>
  <c r="AS212" i="2"/>
  <c r="AL212" i="2"/>
  <c r="AF212" i="2"/>
  <c r="Z212" i="2"/>
  <c r="X212" i="2"/>
  <c r="S212" i="2"/>
  <c r="O212" i="2"/>
  <c r="L212" i="2"/>
  <c r="J212" i="2"/>
  <c r="H212" i="2"/>
  <c r="E212" i="2"/>
  <c r="F212" i="2" s="1"/>
  <c r="D212" i="2"/>
  <c r="BH211" i="2"/>
  <c r="AT211" i="2"/>
  <c r="AS211" i="2"/>
  <c r="AL211" i="2"/>
  <c r="AF211" i="2"/>
  <c r="Z211" i="2"/>
  <c r="X211" i="2"/>
  <c r="S211" i="2"/>
  <c r="O211" i="2"/>
  <c r="L211" i="2"/>
  <c r="J211" i="2"/>
  <c r="H211" i="2"/>
  <c r="E211" i="2"/>
  <c r="F211" i="2" s="1"/>
  <c r="D211" i="2"/>
  <c r="BH210" i="2"/>
  <c r="AT210" i="2"/>
  <c r="AS210" i="2"/>
  <c r="AL210" i="2"/>
  <c r="AF210" i="2"/>
  <c r="Z210" i="2"/>
  <c r="X210" i="2"/>
  <c r="S210" i="2"/>
  <c r="O210" i="2"/>
  <c r="L210" i="2"/>
  <c r="J210" i="2"/>
  <c r="H210" i="2"/>
  <c r="E210" i="2"/>
  <c r="F210" i="2" s="1"/>
  <c r="D210" i="2"/>
  <c r="BH209" i="2"/>
  <c r="AT209" i="2"/>
  <c r="AS209" i="2"/>
  <c r="AL209" i="2"/>
  <c r="AF209" i="2"/>
  <c r="Z209" i="2"/>
  <c r="X209" i="2"/>
  <c r="S209" i="2"/>
  <c r="O209" i="2"/>
  <c r="L209" i="2"/>
  <c r="J209" i="2"/>
  <c r="H209" i="2"/>
  <c r="E209" i="2"/>
  <c r="F209" i="2" s="1"/>
  <c r="D209" i="2"/>
  <c r="BH208" i="2"/>
  <c r="AT208" i="2"/>
  <c r="AS208" i="2"/>
  <c r="AL208" i="2"/>
  <c r="AF208" i="2"/>
  <c r="Z208" i="2"/>
  <c r="X208" i="2"/>
  <c r="S208" i="2"/>
  <c r="O208" i="2"/>
  <c r="L208" i="2"/>
  <c r="J208" i="2"/>
  <c r="H208" i="2"/>
  <c r="E208" i="2"/>
  <c r="F208" i="2" s="1"/>
  <c r="D208" i="2"/>
  <c r="BH207" i="2"/>
  <c r="AT207" i="2"/>
  <c r="AS207" i="2"/>
  <c r="AL207" i="2"/>
  <c r="AF207" i="2"/>
  <c r="Z207" i="2"/>
  <c r="X207" i="2"/>
  <c r="S207" i="2"/>
  <c r="O207" i="2"/>
  <c r="L207" i="2"/>
  <c r="J207" i="2"/>
  <c r="H207" i="2"/>
  <c r="E207" i="2"/>
  <c r="F207" i="2" s="1"/>
  <c r="D207" i="2"/>
  <c r="BH206" i="2"/>
  <c r="AT206" i="2"/>
  <c r="AS206" i="2"/>
  <c r="AL206" i="2"/>
  <c r="AF206" i="2"/>
  <c r="Z206" i="2"/>
  <c r="X206" i="2"/>
  <c r="S206" i="2"/>
  <c r="O206" i="2"/>
  <c r="L206" i="2"/>
  <c r="J206" i="2"/>
  <c r="H206" i="2"/>
  <c r="E206" i="2"/>
  <c r="F206" i="2" s="1"/>
  <c r="D206" i="2"/>
  <c r="BH205" i="2"/>
  <c r="AT205" i="2"/>
  <c r="AS205" i="2"/>
  <c r="AL205" i="2"/>
  <c r="AF205" i="2"/>
  <c r="Z205" i="2"/>
  <c r="X205" i="2"/>
  <c r="S205" i="2"/>
  <c r="O205" i="2"/>
  <c r="L205" i="2"/>
  <c r="J205" i="2"/>
  <c r="H205" i="2"/>
  <c r="E205" i="2"/>
  <c r="F205" i="2" s="1"/>
  <c r="D205" i="2"/>
  <c r="BH204" i="2"/>
  <c r="AT204" i="2"/>
  <c r="AS204" i="2"/>
  <c r="AL204" i="2"/>
  <c r="AF204" i="2"/>
  <c r="Z204" i="2"/>
  <c r="X204" i="2"/>
  <c r="S204" i="2"/>
  <c r="O204" i="2"/>
  <c r="L204" i="2"/>
  <c r="J204" i="2"/>
  <c r="H204" i="2"/>
  <c r="E204" i="2"/>
  <c r="F204" i="2" s="1"/>
  <c r="D204" i="2"/>
  <c r="BH203" i="2"/>
  <c r="AT203" i="2"/>
  <c r="AS203" i="2"/>
  <c r="AL203" i="2"/>
  <c r="AF203" i="2"/>
  <c r="Z203" i="2"/>
  <c r="X203" i="2"/>
  <c r="S203" i="2"/>
  <c r="O203" i="2"/>
  <c r="L203" i="2"/>
  <c r="J203" i="2"/>
  <c r="H203" i="2"/>
  <c r="E203" i="2"/>
  <c r="F203" i="2" s="1"/>
  <c r="D203" i="2"/>
  <c r="BH202" i="2"/>
  <c r="AT202" i="2"/>
  <c r="AS202" i="2"/>
  <c r="AL202" i="2"/>
  <c r="AF202" i="2"/>
  <c r="Z202" i="2"/>
  <c r="X202" i="2"/>
  <c r="S202" i="2"/>
  <c r="O202" i="2"/>
  <c r="L202" i="2"/>
  <c r="J202" i="2"/>
  <c r="H202" i="2"/>
  <c r="E202" i="2"/>
  <c r="F202" i="2" s="1"/>
  <c r="D202" i="2"/>
  <c r="BH201" i="2"/>
  <c r="AT201" i="2"/>
  <c r="AS201" i="2"/>
  <c r="AL201" i="2"/>
  <c r="AF201" i="2"/>
  <c r="Z201" i="2"/>
  <c r="X201" i="2"/>
  <c r="S201" i="2"/>
  <c r="O201" i="2"/>
  <c r="L201" i="2"/>
  <c r="J201" i="2"/>
  <c r="H201" i="2"/>
  <c r="E201" i="2"/>
  <c r="F201" i="2" s="1"/>
  <c r="D201" i="2"/>
  <c r="BH200" i="2"/>
  <c r="AT200" i="2"/>
  <c r="AS200" i="2"/>
  <c r="AL200" i="2"/>
  <c r="AF200" i="2"/>
  <c r="Z200" i="2"/>
  <c r="X200" i="2"/>
  <c r="S200" i="2"/>
  <c r="O200" i="2"/>
  <c r="L200" i="2"/>
  <c r="J200" i="2"/>
  <c r="H200" i="2"/>
  <c r="E200" i="2"/>
  <c r="F200" i="2" s="1"/>
  <c r="D200" i="2"/>
  <c r="BH199" i="2"/>
  <c r="AT199" i="2"/>
  <c r="AS199" i="2"/>
  <c r="AL199" i="2"/>
  <c r="AF199" i="2"/>
  <c r="Z199" i="2"/>
  <c r="X199" i="2"/>
  <c r="S199" i="2"/>
  <c r="O199" i="2"/>
  <c r="L199" i="2"/>
  <c r="J199" i="2"/>
  <c r="H199" i="2"/>
  <c r="E199" i="2"/>
  <c r="F199" i="2" s="1"/>
  <c r="D199" i="2"/>
  <c r="BH198" i="2"/>
  <c r="AT198" i="2"/>
  <c r="AS198" i="2"/>
  <c r="AL198" i="2"/>
  <c r="AF198" i="2"/>
  <c r="Z198" i="2"/>
  <c r="X198" i="2"/>
  <c r="S198" i="2"/>
  <c r="O198" i="2"/>
  <c r="L198" i="2"/>
  <c r="J198" i="2"/>
  <c r="H198" i="2"/>
  <c r="E198" i="2"/>
  <c r="F198" i="2" s="1"/>
  <c r="D198" i="2"/>
  <c r="BH197" i="2"/>
  <c r="AT197" i="2"/>
  <c r="AS197" i="2"/>
  <c r="AL197" i="2"/>
  <c r="AF197" i="2"/>
  <c r="Z197" i="2"/>
  <c r="X197" i="2"/>
  <c r="S197" i="2"/>
  <c r="O197" i="2"/>
  <c r="L197" i="2"/>
  <c r="J197" i="2"/>
  <c r="H197" i="2"/>
  <c r="E197" i="2"/>
  <c r="F197" i="2" s="1"/>
  <c r="D197" i="2"/>
  <c r="BH196" i="2"/>
  <c r="AT196" i="2"/>
  <c r="AS196" i="2"/>
  <c r="AL196" i="2"/>
  <c r="AF196" i="2"/>
  <c r="Z196" i="2"/>
  <c r="X196" i="2"/>
  <c r="S196" i="2"/>
  <c r="O196" i="2"/>
  <c r="L196" i="2"/>
  <c r="J196" i="2"/>
  <c r="H196" i="2"/>
  <c r="E196" i="2"/>
  <c r="F196" i="2" s="1"/>
  <c r="D196" i="2"/>
  <c r="BH195" i="2"/>
  <c r="AT195" i="2"/>
  <c r="AS195" i="2"/>
  <c r="AL195" i="2"/>
  <c r="AF195" i="2"/>
  <c r="Z195" i="2"/>
  <c r="X195" i="2"/>
  <c r="S195" i="2"/>
  <c r="O195" i="2"/>
  <c r="L195" i="2"/>
  <c r="J195" i="2"/>
  <c r="H195" i="2"/>
  <c r="E195" i="2"/>
  <c r="F195" i="2" s="1"/>
  <c r="D195" i="2"/>
  <c r="BH194" i="2"/>
  <c r="AT194" i="2"/>
  <c r="AS194" i="2"/>
  <c r="AL194" i="2"/>
  <c r="AF194" i="2"/>
  <c r="Z194" i="2"/>
  <c r="X194" i="2"/>
  <c r="S194" i="2"/>
  <c r="O194" i="2"/>
  <c r="L194" i="2"/>
  <c r="J194" i="2"/>
  <c r="H194" i="2"/>
  <c r="E194" i="2"/>
  <c r="F194" i="2" s="1"/>
  <c r="D194" i="2"/>
  <c r="BH193" i="2"/>
  <c r="AT193" i="2"/>
  <c r="AS193" i="2"/>
  <c r="AL193" i="2"/>
  <c r="AF193" i="2"/>
  <c r="Z193" i="2"/>
  <c r="X193" i="2"/>
  <c r="S193" i="2"/>
  <c r="O193" i="2"/>
  <c r="L193" i="2"/>
  <c r="H193" i="2"/>
  <c r="E193" i="2"/>
  <c r="F193" i="2" s="1"/>
  <c r="D193" i="2"/>
  <c r="BH192" i="2"/>
  <c r="AT192" i="2"/>
  <c r="AS192" i="2"/>
  <c r="AL192" i="2"/>
  <c r="AF192" i="2"/>
  <c r="Z192" i="2"/>
  <c r="X192" i="2"/>
  <c r="S192" i="2"/>
  <c r="O192" i="2"/>
  <c r="L192" i="2"/>
  <c r="J192" i="2"/>
  <c r="H192" i="2"/>
  <c r="E192" i="2"/>
  <c r="F192" i="2" s="1"/>
  <c r="D192" i="2"/>
  <c r="BH191" i="2"/>
  <c r="AT191" i="2"/>
  <c r="AS191" i="2"/>
  <c r="AL191" i="2"/>
  <c r="AF191" i="2"/>
  <c r="Z191" i="2"/>
  <c r="X191" i="2"/>
  <c r="S191" i="2"/>
  <c r="O191" i="2"/>
  <c r="L191" i="2"/>
  <c r="J191" i="2"/>
  <c r="H191" i="2"/>
  <c r="E191" i="2"/>
  <c r="F191" i="2" s="1"/>
  <c r="D191" i="2"/>
  <c r="AT190" i="2"/>
  <c r="AS190" i="2"/>
  <c r="AM190" i="2"/>
  <c r="AL190" i="2"/>
  <c r="AJ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T189" i="2"/>
  <c r="AS189" i="2"/>
  <c r="AN189" i="2"/>
  <c r="AM189" i="2"/>
  <c r="AL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T188" i="2"/>
  <c r="AS188" i="2"/>
  <c r="AN188" i="2"/>
  <c r="AM188" i="2"/>
  <c r="AL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T187" i="2"/>
  <c r="AS187" i="2"/>
  <c r="AM187" i="2"/>
  <c r="AL187" i="2"/>
  <c r="AJ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T186" i="2"/>
  <c r="AS186" i="2"/>
  <c r="AM186" i="2"/>
  <c r="AL186" i="2"/>
  <c r="AJ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T185" i="2"/>
  <c r="AS185" i="2"/>
  <c r="AM185" i="2"/>
  <c r="AL185" i="2"/>
  <c r="AJ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T184" i="2"/>
  <c r="AS184" i="2"/>
  <c r="AM184" i="2"/>
  <c r="AL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T183" i="2"/>
  <c r="AS183" i="2"/>
  <c r="AN183" i="2"/>
  <c r="AM183" i="2"/>
  <c r="AL183" i="2"/>
  <c r="AJ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T182" i="2"/>
  <c r="AS182" i="2"/>
  <c r="AN182" i="2"/>
  <c r="AM182" i="2"/>
  <c r="AL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T181" i="2"/>
  <c r="AS181" i="2"/>
  <c r="AN181" i="2"/>
  <c r="AM181" i="2"/>
  <c r="AL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T180" i="2"/>
  <c r="AS180" i="2"/>
  <c r="AN180" i="2"/>
  <c r="AM180" i="2"/>
  <c r="AL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T179" i="2"/>
  <c r="AS179" i="2"/>
  <c r="AN179" i="2"/>
  <c r="AM179" i="2"/>
  <c r="AL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T178" i="2"/>
  <c r="AS178" i="2"/>
  <c r="AN178" i="2"/>
  <c r="AM178" i="2"/>
  <c r="AL178" i="2"/>
  <c r="AJ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T177" i="2"/>
  <c r="AS177" i="2"/>
  <c r="AN177" i="2"/>
  <c r="AM177" i="2"/>
  <c r="AL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T176" i="2"/>
  <c r="AS176" i="2"/>
  <c r="AN176" i="2"/>
  <c r="AM176" i="2"/>
  <c r="AL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T175" i="2"/>
  <c r="AS175" i="2"/>
  <c r="AN175" i="2"/>
  <c r="AM175" i="2"/>
  <c r="AL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T174" i="2"/>
  <c r="AS174" i="2"/>
  <c r="AN174" i="2"/>
  <c r="AM174" i="2"/>
  <c r="AL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T173" i="2"/>
  <c r="AS173" i="2"/>
  <c r="AN173" i="2"/>
  <c r="AM173" i="2"/>
  <c r="AL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T172" i="2"/>
  <c r="AS172" i="2"/>
  <c r="AN172" i="2"/>
  <c r="AM172" i="2"/>
  <c r="AL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T171" i="2"/>
  <c r="AS171" i="2"/>
  <c r="AM171" i="2"/>
  <c r="AL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T170" i="2"/>
  <c r="AS170" i="2"/>
  <c r="AM170" i="2"/>
  <c r="AL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T169" i="2"/>
  <c r="AS169" i="2"/>
  <c r="AM169" i="2"/>
  <c r="AL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T168" i="2"/>
  <c r="AS168" i="2"/>
  <c r="AM168" i="2"/>
  <c r="AL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T167" i="2"/>
  <c r="AS167" i="2"/>
  <c r="AM167" i="2"/>
  <c r="AL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T166" i="2"/>
  <c r="AS166" i="2"/>
  <c r="AM166" i="2"/>
  <c r="AL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T165" i="2"/>
  <c r="AS165" i="2"/>
  <c r="AN165" i="2"/>
  <c r="AM165" i="2"/>
  <c r="AL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T164" i="2"/>
  <c r="AS164" i="2"/>
  <c r="AN164" i="2"/>
  <c r="AM164" i="2"/>
  <c r="AL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T163" i="2"/>
  <c r="AS163" i="2"/>
  <c r="AN163" i="2"/>
  <c r="AM163" i="2"/>
  <c r="AL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T162" i="2"/>
  <c r="AS162" i="2"/>
  <c r="AN162" i="2"/>
  <c r="AM162" i="2"/>
  <c r="AL162" i="2"/>
  <c r="AJ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T161" i="2"/>
  <c r="AS161" i="2"/>
  <c r="AN161" i="2"/>
  <c r="AM161" i="2"/>
  <c r="AL161" i="2"/>
  <c r="AJ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T160" i="2"/>
  <c r="AS160" i="2"/>
  <c r="AN160" i="2"/>
  <c r="AM160" i="2"/>
  <c r="AL160" i="2"/>
  <c r="AJ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T159" i="2"/>
  <c r="AS159" i="2"/>
  <c r="AN159" i="2"/>
  <c r="AL159" i="2"/>
  <c r="AJ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T158" i="2"/>
  <c r="AS158" i="2"/>
  <c r="AN158" i="2"/>
  <c r="AL158" i="2"/>
  <c r="AJ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T157" i="2"/>
  <c r="AS157" i="2"/>
  <c r="AN157" i="2"/>
  <c r="AM157" i="2"/>
  <c r="AL157" i="2"/>
  <c r="AJ157" i="2"/>
  <c r="AG157" i="2"/>
  <c r="AF157" i="2"/>
  <c r="AA157" i="2"/>
  <c r="Z157" i="2"/>
  <c r="X157" i="2"/>
  <c r="S157" i="2"/>
  <c r="R157" i="2"/>
  <c r="O157" i="2"/>
  <c r="L157" i="2"/>
  <c r="J157" i="2"/>
  <c r="H157" i="2"/>
  <c r="E157" i="2"/>
  <c r="F157" i="2" s="1"/>
  <c r="AT156" i="2"/>
  <c r="AS156" i="2"/>
  <c r="AN156" i="2"/>
  <c r="AM156" i="2"/>
  <c r="AL156" i="2"/>
  <c r="AJ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T155" i="2"/>
  <c r="AS155" i="2"/>
  <c r="AN155" i="2"/>
  <c r="AM155" i="2"/>
  <c r="AL155" i="2"/>
  <c r="AJ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T154" i="2"/>
  <c r="AS154" i="2"/>
  <c r="AN154" i="2"/>
  <c r="AM154" i="2"/>
  <c r="AL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T153" i="2"/>
  <c r="AS153" i="2"/>
  <c r="AN153" i="2"/>
  <c r="AM153" i="2"/>
  <c r="AL153" i="2"/>
  <c r="AJ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T152" i="2"/>
  <c r="AS152" i="2"/>
  <c r="AN152" i="2"/>
  <c r="AM152" i="2"/>
  <c r="AL152" i="2"/>
  <c r="AJ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T151" i="2"/>
  <c r="AS151" i="2"/>
  <c r="AN151" i="2"/>
  <c r="AM151" i="2"/>
  <c r="AL151" i="2"/>
  <c r="AJ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T150" i="2"/>
  <c r="AS150" i="2"/>
  <c r="AN150" i="2"/>
  <c r="AM150" i="2"/>
  <c r="AL150" i="2"/>
  <c r="AJ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T149" i="2"/>
  <c r="AS149" i="2"/>
  <c r="AN149" i="2"/>
  <c r="AM149" i="2"/>
  <c r="AL149" i="2"/>
  <c r="AJ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T148" i="2"/>
  <c r="AS148" i="2"/>
  <c r="AN148" i="2"/>
  <c r="AM148" i="2"/>
  <c r="AL148" i="2"/>
  <c r="AJ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T147" i="2"/>
  <c r="AS147" i="2"/>
  <c r="AN147" i="2"/>
  <c r="AM147" i="2"/>
  <c r="AL147" i="2"/>
  <c r="AJ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T146" i="2"/>
  <c r="AS146" i="2"/>
  <c r="AN146" i="2"/>
  <c r="AM146" i="2"/>
  <c r="AL146" i="2"/>
  <c r="AJ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T145" i="2"/>
  <c r="AS145" i="2"/>
  <c r="AN145" i="2"/>
  <c r="AM145" i="2"/>
  <c r="AL145" i="2"/>
  <c r="AJ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T144" i="2"/>
  <c r="AS144" i="2"/>
  <c r="AN144" i="2"/>
  <c r="AM144" i="2"/>
  <c r="AL144" i="2"/>
  <c r="AJ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T143" i="2"/>
  <c r="AS143" i="2"/>
  <c r="AN143" i="2"/>
  <c r="AM143" i="2"/>
  <c r="AL143" i="2"/>
  <c r="AJ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T142" i="2"/>
  <c r="AS142" i="2"/>
  <c r="AN142" i="2"/>
  <c r="AM142" i="2"/>
  <c r="AL142" i="2"/>
  <c r="AJ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AT141" i="2"/>
  <c r="AS141" i="2"/>
  <c r="AN141" i="2"/>
  <c r="AM141" i="2"/>
  <c r="AL141" i="2"/>
  <c r="AJ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T140" i="2"/>
  <c r="AS140" i="2"/>
  <c r="AN140" i="2"/>
  <c r="AM140" i="2"/>
  <c r="AL140" i="2"/>
  <c r="AJ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T139" i="2"/>
  <c r="AS139" i="2"/>
  <c r="AN139" i="2"/>
  <c r="AM139" i="2"/>
  <c r="AL139" i="2"/>
  <c r="AJ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T138" i="2"/>
  <c r="AS138" i="2"/>
  <c r="AN138" i="2"/>
  <c r="AM138" i="2"/>
  <c r="AL138" i="2"/>
  <c r="AJ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T137" i="2"/>
  <c r="AS137" i="2"/>
  <c r="AN137" i="2"/>
  <c r="AM137" i="2"/>
  <c r="AL137" i="2"/>
  <c r="AJ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T136" i="2"/>
  <c r="AS136" i="2"/>
  <c r="AN136" i="2"/>
  <c r="AM136" i="2"/>
  <c r="AL136" i="2"/>
  <c r="AJ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T135" i="2"/>
  <c r="AS135" i="2"/>
  <c r="AN135" i="2"/>
  <c r="AM135" i="2"/>
  <c r="AL135" i="2"/>
  <c r="AJ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T134" i="2"/>
  <c r="AS134" i="2"/>
  <c r="AN134" i="2"/>
  <c r="AM134" i="2"/>
  <c r="AL134" i="2"/>
  <c r="AJ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T133" i="2"/>
  <c r="AS133" i="2"/>
  <c r="AN133" i="2"/>
  <c r="AM133" i="2"/>
  <c r="AL133" i="2"/>
  <c r="AJ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T132" i="2"/>
  <c r="AS132" i="2"/>
  <c r="AN132" i="2"/>
  <c r="AM132" i="2"/>
  <c r="AL132" i="2"/>
  <c r="AJ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T131" i="2"/>
  <c r="AS131" i="2"/>
  <c r="AN131" i="2"/>
  <c r="AM131" i="2"/>
  <c r="AL131" i="2"/>
  <c r="AJ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T130" i="2"/>
  <c r="AS130" i="2"/>
  <c r="AN130" i="2"/>
  <c r="AM130" i="2"/>
  <c r="AL130" i="2"/>
  <c r="AJ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T129" i="2"/>
  <c r="AS129" i="2"/>
  <c r="AN129" i="2"/>
  <c r="AM129" i="2"/>
  <c r="AL129" i="2"/>
  <c r="AJ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T128" i="2"/>
  <c r="AS128" i="2"/>
  <c r="AN128" i="2"/>
  <c r="AM128" i="2"/>
  <c r="AL128" i="2"/>
  <c r="AJ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T127" i="2"/>
  <c r="AS127" i="2"/>
  <c r="AN127" i="2"/>
  <c r="AM127" i="2"/>
  <c r="AL127" i="2"/>
  <c r="AJ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T126" i="2"/>
  <c r="AS126" i="2"/>
  <c r="AN126" i="2"/>
  <c r="AM126" i="2"/>
  <c r="AL126" i="2"/>
  <c r="AJ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T125" i="2"/>
  <c r="AS125" i="2"/>
  <c r="AN125" i="2"/>
  <c r="AM125" i="2"/>
  <c r="AL125" i="2"/>
  <c r="AJ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T124" i="2"/>
  <c r="AS124" i="2"/>
  <c r="AN124" i="2"/>
  <c r="AM124" i="2"/>
  <c r="AL124" i="2"/>
  <c r="AJ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T123" i="2"/>
  <c r="AS123" i="2"/>
  <c r="AN123" i="2"/>
  <c r="AM123" i="2"/>
  <c r="AL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T122" i="2"/>
  <c r="AS122" i="2"/>
  <c r="AN122" i="2"/>
  <c r="AM122" i="2"/>
  <c r="AL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T121" i="2"/>
  <c r="AS121" i="2"/>
  <c r="AN121" i="2"/>
  <c r="AM121" i="2"/>
  <c r="AL121" i="2"/>
  <c r="AJ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T120" i="2"/>
  <c r="AS120" i="2"/>
  <c r="AN120" i="2"/>
  <c r="AM120" i="2"/>
  <c r="AL120" i="2"/>
  <c r="AJ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T119" i="2"/>
  <c r="AS119" i="2"/>
  <c r="AN119" i="2"/>
  <c r="AM119" i="2"/>
  <c r="AL119" i="2"/>
  <c r="AJ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T118" i="2"/>
  <c r="AS118" i="2"/>
  <c r="AN118" i="2"/>
  <c r="AM118" i="2"/>
  <c r="AL118" i="2"/>
  <c r="AJ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T117" i="2"/>
  <c r="AS117" i="2"/>
  <c r="AN117" i="2"/>
  <c r="AM117" i="2"/>
  <c r="AL117" i="2"/>
  <c r="AJ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T116" i="2"/>
  <c r="AS116" i="2"/>
  <c r="AN116" i="2"/>
  <c r="AM116" i="2"/>
  <c r="AL116" i="2"/>
  <c r="AJ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E116" i="2"/>
  <c r="F116" i="2" s="1"/>
  <c r="AT115" i="2"/>
  <c r="AS115" i="2"/>
  <c r="AN115" i="2"/>
  <c r="AM115" i="2"/>
  <c r="AL115" i="2"/>
  <c r="AJ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T114" i="2"/>
  <c r="AS114" i="2"/>
  <c r="AN114" i="2"/>
  <c r="AM114" i="2"/>
  <c r="AL114" i="2"/>
  <c r="AJ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E114" i="2"/>
  <c r="F114" i="2" s="1"/>
  <c r="AT113" i="2"/>
  <c r="AS113" i="2"/>
  <c r="AN113" i="2"/>
  <c r="AM113" i="2"/>
  <c r="AL113" i="2"/>
  <c r="AJ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T112" i="2"/>
  <c r="AS112" i="2"/>
  <c r="AN112" i="2"/>
  <c r="AM112" i="2"/>
  <c r="AL112" i="2"/>
  <c r="AJ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T111" i="2"/>
  <c r="AS111" i="2"/>
  <c r="AN111" i="2"/>
  <c r="AM111" i="2"/>
  <c r="AL111" i="2"/>
  <c r="AJ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T110" i="2"/>
  <c r="AS110" i="2"/>
  <c r="AN110" i="2"/>
  <c r="AM110" i="2"/>
  <c r="AL110" i="2"/>
  <c r="AJ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T109" i="2"/>
  <c r="AS109" i="2"/>
  <c r="AN109" i="2"/>
  <c r="AM109" i="2"/>
  <c r="AL109" i="2"/>
  <c r="AJ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T108" i="2"/>
  <c r="AS108" i="2"/>
  <c r="AN108" i="2"/>
  <c r="AM108" i="2"/>
  <c r="AL108" i="2"/>
  <c r="AJ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T107" i="2"/>
  <c r="AS107" i="2"/>
  <c r="AN107" i="2"/>
  <c r="AM107" i="2"/>
  <c r="AL107" i="2"/>
  <c r="AJ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T106" i="2"/>
  <c r="AS106" i="2"/>
  <c r="AN106" i="2"/>
  <c r="AM106" i="2"/>
  <c r="AL106" i="2"/>
  <c r="AJ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T105" i="2"/>
  <c r="AS105" i="2"/>
  <c r="AN105" i="2"/>
  <c r="AM105" i="2"/>
  <c r="AL105" i="2"/>
  <c r="AJ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T104" i="2"/>
  <c r="AS104" i="2"/>
  <c r="AN104" i="2"/>
  <c r="AM104" i="2"/>
  <c r="AL104" i="2"/>
  <c r="AJ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T103" i="2"/>
  <c r="AS103" i="2"/>
  <c r="AN103" i="2"/>
  <c r="AM103" i="2"/>
  <c r="AL103" i="2"/>
  <c r="AJ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T102" i="2"/>
  <c r="AS102" i="2"/>
  <c r="AN102" i="2"/>
  <c r="AM102" i="2"/>
  <c r="AL102" i="2"/>
  <c r="AJ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T101" i="2"/>
  <c r="AS101" i="2"/>
  <c r="AN101" i="2"/>
  <c r="AM101" i="2"/>
  <c r="AL101" i="2"/>
  <c r="AJ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T100" i="2"/>
  <c r="AS100" i="2"/>
  <c r="AN100" i="2"/>
  <c r="AM100" i="2"/>
  <c r="AL100" i="2"/>
  <c r="AJ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T99" i="2"/>
  <c r="AS99" i="2"/>
  <c r="AN99" i="2"/>
  <c r="AM99" i="2"/>
  <c r="AL99" i="2"/>
  <c r="AJ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T98" i="2"/>
  <c r="AS98" i="2"/>
  <c r="AN98" i="2"/>
  <c r="AM98" i="2"/>
  <c r="AL98" i="2"/>
  <c r="AJ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T97" i="2"/>
  <c r="AS97" i="2"/>
  <c r="AN97" i="2"/>
  <c r="AM97" i="2"/>
  <c r="AL97" i="2"/>
  <c r="AJ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T96" i="2"/>
  <c r="AS96" i="2"/>
  <c r="AN96" i="2"/>
  <c r="AM96" i="2"/>
  <c r="AL96" i="2"/>
  <c r="AJ96" i="2"/>
  <c r="AG96" i="2"/>
  <c r="AF96" i="2"/>
  <c r="AA96" i="2"/>
  <c r="Z96" i="2"/>
  <c r="X96" i="2"/>
  <c r="S96" i="2"/>
  <c r="R96" i="2"/>
  <c r="O96" i="2"/>
  <c r="L96" i="2"/>
  <c r="J96" i="2"/>
  <c r="H96" i="2"/>
  <c r="F96" i="2"/>
  <c r="AT95" i="2"/>
  <c r="AS95" i="2"/>
  <c r="AN95" i="2"/>
  <c r="AM95" i="2"/>
  <c r="AL95" i="2"/>
  <c r="AJ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T94" i="2"/>
  <c r="AS94" i="2"/>
  <c r="AN94" i="2"/>
  <c r="AM94" i="2"/>
  <c r="AL94" i="2"/>
  <c r="AJ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T93" i="2"/>
  <c r="AS93" i="2"/>
  <c r="AN93" i="2"/>
  <c r="AM93" i="2"/>
  <c r="AL93" i="2"/>
  <c r="AJ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T92" i="2"/>
  <c r="AS92" i="2"/>
  <c r="AN92" i="2"/>
  <c r="AM92" i="2"/>
  <c r="AL92" i="2"/>
  <c r="AJ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T91" i="2"/>
  <c r="AS91" i="2"/>
  <c r="AN91" i="2"/>
  <c r="AM91" i="2"/>
  <c r="AL91" i="2"/>
  <c r="AJ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T90" i="2"/>
  <c r="AS90" i="2"/>
  <c r="AN90" i="2"/>
  <c r="AM90" i="2"/>
  <c r="AL90" i="2"/>
  <c r="AJ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T89" i="2"/>
  <c r="AS89" i="2"/>
  <c r="AN89" i="2"/>
  <c r="AM89" i="2"/>
  <c r="AL89" i="2"/>
  <c r="AJ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T88" i="2"/>
  <c r="AS88" i="2"/>
  <c r="AN88" i="2"/>
  <c r="AM88" i="2"/>
  <c r="AL88" i="2"/>
  <c r="AL46" i="2" s="1"/>
  <c r="AJ88" i="2"/>
  <c r="AG88" i="2"/>
  <c r="AF88" i="2"/>
  <c r="AA88" i="2"/>
  <c r="Z88" i="2"/>
  <c r="Z46" i="2" s="1"/>
  <c r="X88" i="2"/>
  <c r="S88" i="2"/>
  <c r="S46" i="2" s="1"/>
  <c r="R88" i="2"/>
  <c r="Q88" i="2"/>
  <c r="Q46" i="2" s="1"/>
  <c r="O88" i="2"/>
  <c r="O46" i="2" s="1"/>
  <c r="L88" i="2"/>
  <c r="J88" i="2"/>
  <c r="G88" i="2"/>
  <c r="H88" i="2" s="1"/>
  <c r="F88" i="2"/>
  <c r="AT87" i="2"/>
  <c r="AS87" i="2"/>
  <c r="AN87" i="2"/>
  <c r="AM87" i="2"/>
  <c r="AL87" i="2"/>
  <c r="AJ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T86" i="2"/>
  <c r="AS86" i="2"/>
  <c r="AN86" i="2"/>
  <c r="AM86" i="2"/>
  <c r="AL86" i="2"/>
  <c r="AJ86" i="2"/>
  <c r="AG86" i="2"/>
  <c r="AF86" i="2"/>
  <c r="AA86" i="2"/>
  <c r="Z86" i="2"/>
  <c r="X86" i="2"/>
  <c r="S86" i="2"/>
  <c r="R86" i="2"/>
  <c r="O86" i="2"/>
  <c r="L86" i="2"/>
  <c r="J86" i="2"/>
  <c r="H86" i="2"/>
  <c r="F86" i="2"/>
  <c r="AT85" i="2"/>
  <c r="AS85" i="2"/>
  <c r="AN85" i="2"/>
  <c r="AM85" i="2"/>
  <c r="AL85" i="2"/>
  <c r="AJ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T84" i="2"/>
  <c r="AS84" i="2"/>
  <c r="AN84" i="2"/>
  <c r="AM84" i="2"/>
  <c r="AL84" i="2"/>
  <c r="AJ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T83" i="2"/>
  <c r="AS83" i="2"/>
  <c r="AN83" i="2"/>
  <c r="AM83" i="2"/>
  <c r="AL83" i="2"/>
  <c r="AJ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T82" i="2"/>
  <c r="AS82" i="2"/>
  <c r="AN82" i="2"/>
  <c r="AM82" i="2"/>
  <c r="AL82" i="2"/>
  <c r="AJ82" i="2"/>
  <c r="AG82" i="2"/>
  <c r="AF82" i="2"/>
  <c r="AA82" i="2"/>
  <c r="Z82" i="2"/>
  <c r="X82" i="2"/>
  <c r="S82" i="2"/>
  <c r="R82" i="2"/>
  <c r="O82" i="2"/>
  <c r="L82" i="2"/>
  <c r="J82" i="2"/>
  <c r="H82" i="2"/>
  <c r="F82" i="2"/>
  <c r="AT81" i="2"/>
  <c r="AS81" i="2"/>
  <c r="AN81" i="2"/>
  <c r="AM81" i="2"/>
  <c r="AL81" i="2"/>
  <c r="AJ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T80" i="2"/>
  <c r="AS80" i="2"/>
  <c r="AN80" i="2"/>
  <c r="AM80" i="2"/>
  <c r="AL80" i="2"/>
  <c r="AJ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T79" i="2"/>
  <c r="AS79" i="2"/>
  <c r="AN79" i="2"/>
  <c r="AM79" i="2"/>
  <c r="AL79" i="2"/>
  <c r="AJ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T78" i="2"/>
  <c r="AS78" i="2"/>
  <c r="AN78" i="2"/>
  <c r="AM78" i="2"/>
  <c r="AL78" i="2"/>
  <c r="AJ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T77" i="2"/>
  <c r="AS77" i="2"/>
  <c r="AM77" i="2"/>
  <c r="AL77" i="2"/>
  <c r="AJ77" i="2"/>
  <c r="AG77" i="2"/>
  <c r="AF77" i="2"/>
  <c r="AA77" i="2"/>
  <c r="Z77" i="2"/>
  <c r="X77" i="2"/>
  <c r="R77" i="2"/>
  <c r="Q77" i="2"/>
  <c r="O77" i="2"/>
  <c r="L77" i="2"/>
  <c r="J77" i="2"/>
  <c r="H77" i="2"/>
  <c r="F77" i="2"/>
  <c r="AT76" i="2"/>
  <c r="AS76" i="2"/>
  <c r="AM76" i="2"/>
  <c r="AL76" i="2"/>
  <c r="AJ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T75" i="2"/>
  <c r="AS75" i="2"/>
  <c r="AN75" i="2"/>
  <c r="AM75" i="2"/>
  <c r="AL75" i="2"/>
  <c r="AJ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T74" i="2"/>
  <c r="AS74" i="2"/>
  <c r="AN74" i="2"/>
  <c r="AM74" i="2"/>
  <c r="AL74" i="2"/>
  <c r="AJ74" i="2"/>
  <c r="AG74" i="2"/>
  <c r="AF74" i="2"/>
  <c r="AA74" i="2"/>
  <c r="Z74" i="2"/>
  <c r="X74" i="2"/>
  <c r="S74" i="2"/>
  <c r="R74" i="2"/>
  <c r="O74" i="2"/>
  <c r="L74" i="2"/>
  <c r="J74" i="2"/>
  <c r="H74" i="2"/>
  <c r="F74" i="2"/>
  <c r="AT73" i="2"/>
  <c r="AS73" i="2"/>
  <c r="AN73" i="2"/>
  <c r="AM73" i="2"/>
  <c r="AL73" i="2"/>
  <c r="AJ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T72" i="2"/>
  <c r="AS72" i="2"/>
  <c r="AN72" i="2"/>
  <c r="AM72" i="2"/>
  <c r="AL72" i="2"/>
  <c r="AJ72" i="2"/>
  <c r="AG72" i="2"/>
  <c r="AF72" i="2"/>
  <c r="AA72" i="2"/>
  <c r="Z72" i="2"/>
  <c r="X72" i="2"/>
  <c r="S72" i="2"/>
  <c r="R72" i="2"/>
  <c r="O72" i="2"/>
  <c r="L72" i="2"/>
  <c r="J72" i="2"/>
  <c r="H72" i="2"/>
  <c r="F72" i="2"/>
  <c r="AT71" i="2"/>
  <c r="AS71" i="2"/>
  <c r="AN71" i="2"/>
  <c r="AM71" i="2"/>
  <c r="AL71" i="2"/>
  <c r="AJ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T70" i="2"/>
  <c r="AS70" i="2"/>
  <c r="AN70" i="2"/>
  <c r="AM70" i="2"/>
  <c r="AL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T69" i="2"/>
  <c r="AS69" i="2"/>
  <c r="AN69" i="2"/>
  <c r="AM69" i="2"/>
  <c r="AL69" i="2"/>
  <c r="AJ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T68" i="2"/>
  <c r="AS68" i="2"/>
  <c r="AN68" i="2"/>
  <c r="AM68" i="2"/>
  <c r="AL68" i="2"/>
  <c r="AG68" i="2"/>
  <c r="AF68" i="2"/>
  <c r="AA68" i="2"/>
  <c r="Z68" i="2"/>
  <c r="X68" i="2"/>
  <c r="S68" i="2"/>
  <c r="R68" i="2"/>
  <c r="O68" i="2"/>
  <c r="L68" i="2"/>
  <c r="J68" i="2"/>
  <c r="H68" i="2"/>
  <c r="F68" i="2"/>
  <c r="AT67" i="2"/>
  <c r="AS67" i="2"/>
  <c r="AN67" i="2"/>
  <c r="AM67" i="2"/>
  <c r="AL67" i="2"/>
  <c r="AJ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T66" i="2"/>
  <c r="AS66" i="2"/>
  <c r="AN66" i="2"/>
  <c r="AM66" i="2"/>
  <c r="AL66" i="2"/>
  <c r="AJ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T65" i="2"/>
  <c r="AS65" i="2"/>
  <c r="AN65" i="2"/>
  <c r="AM65" i="2"/>
  <c r="AL65" i="2"/>
  <c r="AJ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T64" i="2"/>
  <c r="AS64" i="2"/>
  <c r="AN64" i="2"/>
  <c r="AM64" i="2"/>
  <c r="AL64" i="2"/>
  <c r="AJ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T63" i="2"/>
  <c r="AS63" i="2"/>
  <c r="AN63" i="2"/>
  <c r="AM63" i="2"/>
  <c r="AL63" i="2"/>
  <c r="AJ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T62" i="2"/>
  <c r="AS62" i="2"/>
  <c r="AN62" i="2"/>
  <c r="AM62" i="2"/>
  <c r="AL62" i="2"/>
  <c r="AJ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T61" i="2"/>
  <c r="AS61" i="2"/>
  <c r="AN61" i="2"/>
  <c r="AM61" i="2"/>
  <c r="AL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T60" i="2"/>
  <c r="AS60" i="2"/>
  <c r="AN60" i="2"/>
  <c r="AM60" i="2"/>
  <c r="AL60" i="2"/>
  <c r="AJ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T59" i="2"/>
  <c r="AS59" i="2"/>
  <c r="AN59" i="2"/>
  <c r="AM59" i="2"/>
  <c r="AL59" i="2"/>
  <c r="AJ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T58" i="2"/>
  <c r="AS58" i="2"/>
  <c r="AN58" i="2"/>
  <c r="AM58" i="2"/>
  <c r="AL58" i="2"/>
  <c r="AJ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T57" i="2"/>
  <c r="AS57" i="2"/>
  <c r="AN57" i="2"/>
  <c r="AM57" i="2"/>
  <c r="AL57" i="2"/>
  <c r="AJ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T56" i="2"/>
  <c r="AS56" i="2"/>
  <c r="AN56" i="2"/>
  <c r="AM56" i="2"/>
  <c r="AL56" i="2"/>
  <c r="AJ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T55" i="2"/>
  <c r="AS55" i="2"/>
  <c r="AN55" i="2"/>
  <c r="AM55" i="2"/>
  <c r="AL55" i="2"/>
  <c r="AJ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T54" i="2"/>
  <c r="AS54" i="2"/>
  <c r="AN54" i="2"/>
  <c r="AM54" i="2"/>
  <c r="AL54" i="2"/>
  <c r="AJ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T53" i="2"/>
  <c r="AS53" i="2"/>
  <c r="AN53" i="2"/>
  <c r="AM53" i="2"/>
  <c r="AL53" i="2"/>
  <c r="AJ53" i="2"/>
  <c r="AG53" i="2"/>
  <c r="AF53" i="2"/>
  <c r="AA53" i="2"/>
  <c r="Z53" i="2"/>
  <c r="X53" i="2"/>
  <c r="S53" i="2"/>
  <c r="R53" i="2"/>
  <c r="O53" i="2"/>
  <c r="L53" i="2"/>
  <c r="J53" i="2"/>
  <c r="H53" i="2"/>
  <c r="F53" i="2"/>
  <c r="AT52" i="2"/>
  <c r="AS52" i="2"/>
  <c r="AN52" i="2"/>
  <c r="AM52" i="2"/>
  <c r="AL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T51" i="2"/>
  <c r="AS51" i="2"/>
  <c r="AN51" i="2"/>
  <c r="AM51" i="2"/>
  <c r="AL51" i="2"/>
  <c r="AJ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T50" i="2"/>
  <c r="AS50" i="2"/>
  <c r="AN50" i="2"/>
  <c r="AM50" i="2"/>
  <c r="AL50" i="2"/>
  <c r="AJ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T49" i="2"/>
  <c r="AS49" i="2"/>
  <c r="AN49" i="2"/>
  <c r="AM49" i="2"/>
  <c r="AL49" i="2"/>
  <c r="AJ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T48" i="2"/>
  <c r="AS48" i="2"/>
  <c r="AN48" i="2"/>
  <c r="AM48" i="2"/>
  <c r="AL48" i="2"/>
  <c r="AJ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T47" i="2"/>
  <c r="AS47" i="2"/>
  <c r="AN47" i="2"/>
  <c r="AM47" i="2"/>
  <c r="AF47" i="2"/>
  <c r="X47" i="2"/>
  <c r="Q47" i="2"/>
  <c r="L47" i="2"/>
  <c r="J47" i="2"/>
  <c r="G47" i="2"/>
  <c r="H47" i="2" s="1"/>
  <c r="AT46" i="2"/>
  <c r="AS46" i="2"/>
  <c r="AN46" i="2"/>
  <c r="AM46" i="2"/>
  <c r="AG46" i="2"/>
  <c r="AF46" i="2"/>
  <c r="AA46" i="2"/>
  <c r="X46" i="2"/>
  <c r="L46" i="2"/>
  <c r="J46" i="2"/>
  <c r="E46" i="2"/>
  <c r="F46" i="2" s="1"/>
  <c r="AT45" i="2"/>
  <c r="AS45" i="2"/>
  <c r="AN45" i="2"/>
  <c r="AM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T44" i="2"/>
  <c r="AS44" i="2"/>
  <c r="AN44" i="2"/>
  <c r="AM44" i="2"/>
  <c r="AL44" i="2"/>
  <c r="AJ44" i="2"/>
  <c r="AG44" i="2"/>
  <c r="AF44" i="2"/>
  <c r="AA44" i="2"/>
  <c r="Z44" i="2"/>
  <c r="X44" i="2"/>
  <c r="S44" i="2"/>
  <c r="R44" i="2"/>
  <c r="O44" i="2"/>
  <c r="L44" i="2"/>
  <c r="J44" i="2"/>
  <c r="H44" i="2"/>
  <c r="F44" i="2"/>
  <c r="AT43" i="2"/>
  <c r="AS43" i="2"/>
  <c r="AN43" i="2"/>
  <c r="AM43" i="2"/>
  <c r="AL43" i="2"/>
  <c r="AJ43" i="2"/>
  <c r="AG43" i="2"/>
  <c r="AF43" i="2"/>
  <c r="AA43" i="2"/>
  <c r="Z43" i="2"/>
  <c r="X43" i="2"/>
  <c r="S43" i="2"/>
  <c r="R43" i="2"/>
  <c r="O43" i="2"/>
  <c r="L43" i="2"/>
  <c r="J43" i="2"/>
  <c r="H43" i="2"/>
  <c r="F43" i="2"/>
  <c r="AT42" i="2"/>
  <c r="AS42" i="2"/>
  <c r="AN42" i="2"/>
  <c r="AM42" i="2"/>
  <c r="AL42" i="2"/>
  <c r="AG42" i="2"/>
  <c r="AF42" i="2"/>
  <c r="AA42" i="2"/>
  <c r="Z42" i="2"/>
  <c r="X42" i="2"/>
  <c r="S42" i="2"/>
  <c r="R42" i="2"/>
  <c r="O42" i="2"/>
  <c r="L42" i="2"/>
  <c r="J42" i="2"/>
  <c r="H42" i="2"/>
  <c r="F42" i="2"/>
  <c r="AT41" i="2"/>
  <c r="AS41" i="2"/>
  <c r="AN41" i="2"/>
  <c r="AM41" i="2"/>
  <c r="AL41" i="2"/>
  <c r="AG41" i="2"/>
  <c r="AF41" i="2"/>
  <c r="AA41" i="2"/>
  <c r="Z41" i="2"/>
  <c r="X41" i="2"/>
  <c r="S41" i="2"/>
  <c r="R41" i="2"/>
  <c r="O41" i="2"/>
  <c r="L41" i="2"/>
  <c r="J41" i="2"/>
  <c r="H41" i="2"/>
  <c r="F41" i="2"/>
  <c r="AT40" i="2"/>
  <c r="AS40" i="2"/>
  <c r="AN40" i="2"/>
  <c r="AM40" i="2"/>
  <c r="AL40" i="2"/>
  <c r="AG40" i="2"/>
  <c r="AF40" i="2"/>
  <c r="AA40" i="2"/>
  <c r="Z40" i="2"/>
  <c r="X40" i="2"/>
  <c r="S40" i="2"/>
  <c r="R40" i="2"/>
  <c r="O40" i="2"/>
  <c r="L40" i="2"/>
  <c r="J40" i="2"/>
  <c r="H40" i="2"/>
  <c r="F40" i="2"/>
  <c r="AT39" i="2"/>
  <c r="AS39" i="2"/>
  <c r="AN39" i="2"/>
  <c r="AM39" i="2"/>
  <c r="AL39" i="2"/>
  <c r="AL45" i="2" s="1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T38" i="2"/>
  <c r="AS38" i="2"/>
  <c r="AN38" i="2"/>
  <c r="AM38" i="2"/>
  <c r="AL38" i="2"/>
  <c r="AG38" i="2"/>
  <c r="AF38" i="2"/>
  <c r="AA38" i="2"/>
  <c r="Z38" i="2"/>
  <c r="X38" i="2"/>
  <c r="S38" i="2"/>
  <c r="R38" i="2"/>
  <c r="O38" i="2"/>
  <c r="L38" i="2"/>
  <c r="J38" i="2"/>
  <c r="H38" i="2"/>
  <c r="F38" i="2"/>
  <c r="AT37" i="2"/>
  <c r="AS37" i="2"/>
  <c r="AN37" i="2"/>
  <c r="AM37" i="2"/>
  <c r="AL37" i="2"/>
  <c r="AG37" i="2"/>
  <c r="AF37" i="2"/>
  <c r="AA37" i="2"/>
  <c r="Z37" i="2"/>
  <c r="X37" i="2"/>
  <c r="S37" i="2"/>
  <c r="R37" i="2"/>
  <c r="O37" i="2"/>
  <c r="L37" i="2"/>
  <c r="J37" i="2"/>
  <c r="H37" i="2"/>
  <c r="F37" i="2"/>
  <c r="AT36" i="2"/>
  <c r="AS36" i="2"/>
  <c r="AN36" i="2"/>
  <c r="AM36" i="2"/>
  <c r="AL36" i="2"/>
  <c r="AG36" i="2"/>
  <c r="AF36" i="2"/>
  <c r="AA36" i="2"/>
  <c r="Z36" i="2"/>
  <c r="X36" i="2"/>
  <c r="S36" i="2"/>
  <c r="R36" i="2"/>
  <c r="O36" i="2"/>
  <c r="L36" i="2"/>
  <c r="J36" i="2"/>
  <c r="H36" i="2"/>
  <c r="F36" i="2"/>
  <c r="AT35" i="2"/>
  <c r="AS35" i="2"/>
  <c r="AN35" i="2"/>
  <c r="AM35" i="2"/>
  <c r="AL35" i="2"/>
  <c r="AG35" i="2"/>
  <c r="AF35" i="2"/>
  <c r="AA35" i="2"/>
  <c r="Z35" i="2"/>
  <c r="X35" i="2"/>
  <c r="S35" i="2"/>
  <c r="R35" i="2"/>
  <c r="O35" i="2"/>
  <c r="L35" i="2"/>
  <c r="J35" i="2"/>
  <c r="H35" i="2"/>
  <c r="F35" i="2"/>
  <c r="AT34" i="2"/>
  <c r="AS34" i="2"/>
  <c r="AN34" i="2"/>
  <c r="AM34" i="2"/>
  <c r="AL34" i="2"/>
  <c r="AG34" i="2"/>
  <c r="AF34" i="2"/>
  <c r="AA34" i="2"/>
  <c r="Z34" i="2"/>
  <c r="X34" i="2"/>
  <c r="S34" i="2"/>
  <c r="R34" i="2"/>
  <c r="O34" i="2"/>
  <c r="L34" i="2"/>
  <c r="J34" i="2"/>
  <c r="H34" i="2"/>
  <c r="F34" i="2"/>
  <c r="AT33" i="2"/>
  <c r="AS33" i="2"/>
  <c r="AN33" i="2"/>
  <c r="AM33" i="2"/>
  <c r="AL33" i="2"/>
  <c r="AG33" i="2"/>
  <c r="AF33" i="2"/>
  <c r="AA33" i="2"/>
  <c r="Z33" i="2"/>
  <c r="X33" i="2"/>
  <c r="S33" i="2"/>
  <c r="R33" i="2"/>
  <c r="O33" i="2"/>
  <c r="L33" i="2"/>
  <c r="J33" i="2"/>
  <c r="H33" i="2"/>
  <c r="F33" i="2"/>
  <c r="AT32" i="2"/>
  <c r="AS32" i="2"/>
  <c r="AN32" i="2"/>
  <c r="AM32" i="2"/>
  <c r="AL32" i="2"/>
  <c r="AG32" i="2"/>
  <c r="AF32" i="2"/>
  <c r="AA32" i="2"/>
  <c r="Z32" i="2"/>
  <c r="X32" i="2"/>
  <c r="S32" i="2"/>
  <c r="R32" i="2"/>
  <c r="O32" i="2"/>
  <c r="L32" i="2"/>
  <c r="J32" i="2"/>
  <c r="H32" i="2"/>
  <c r="F32" i="2"/>
  <c r="AT31" i="2"/>
  <c r="AS31" i="2"/>
  <c r="AN31" i="2"/>
  <c r="AM31" i="2"/>
  <c r="AL31" i="2"/>
  <c r="AG31" i="2"/>
  <c r="AF31" i="2"/>
  <c r="AA31" i="2"/>
  <c r="Z31" i="2"/>
  <c r="X31" i="2"/>
  <c r="S31" i="2"/>
  <c r="R31" i="2"/>
  <c r="O31" i="2"/>
  <c r="L31" i="2"/>
  <c r="J31" i="2"/>
  <c r="H31" i="2"/>
  <c r="F31" i="2"/>
  <c r="AT30" i="2"/>
  <c r="AS30" i="2"/>
  <c r="AN30" i="2"/>
  <c r="AM30" i="2"/>
  <c r="AL30" i="2"/>
  <c r="AG30" i="2"/>
  <c r="AF30" i="2"/>
  <c r="AA30" i="2"/>
  <c r="Z30" i="2"/>
  <c r="X30" i="2"/>
  <c r="S30" i="2"/>
  <c r="R30" i="2"/>
  <c r="O30" i="2"/>
  <c r="L30" i="2"/>
  <c r="J30" i="2"/>
  <c r="H30" i="2"/>
  <c r="F30" i="2"/>
  <c r="AT29" i="2"/>
  <c r="AS29" i="2"/>
  <c r="AN29" i="2"/>
  <c r="AM29" i="2"/>
  <c r="AL29" i="2"/>
  <c r="AG29" i="2"/>
  <c r="AF29" i="2"/>
  <c r="AA29" i="2"/>
  <c r="Z29" i="2"/>
  <c r="X29" i="2"/>
  <c r="S29" i="2"/>
  <c r="R29" i="2"/>
  <c r="O29" i="2"/>
  <c r="L29" i="2"/>
  <c r="J29" i="2"/>
  <c r="H29" i="2"/>
  <c r="F29" i="2"/>
  <c r="AT28" i="2"/>
  <c r="AS28" i="2"/>
  <c r="AN28" i="2"/>
  <c r="AM28" i="2"/>
  <c r="AL28" i="2"/>
  <c r="AG28" i="2"/>
  <c r="AF28" i="2"/>
  <c r="AA28" i="2"/>
  <c r="Z28" i="2"/>
  <c r="X28" i="2"/>
  <c r="S28" i="2"/>
  <c r="R28" i="2"/>
  <c r="O28" i="2"/>
  <c r="L28" i="2"/>
  <c r="J28" i="2"/>
  <c r="H28" i="2"/>
  <c r="F28" i="2"/>
  <c r="AT27" i="2"/>
  <c r="AS27" i="2"/>
  <c r="AN27" i="2"/>
  <c r="AM27" i="2"/>
  <c r="AL27" i="2"/>
  <c r="AG27" i="2"/>
  <c r="AF27" i="2"/>
  <c r="AA27" i="2"/>
  <c r="Z27" i="2"/>
  <c r="X27" i="2"/>
  <c r="S27" i="2"/>
  <c r="R27" i="2"/>
  <c r="O27" i="2"/>
  <c r="L27" i="2"/>
  <c r="J27" i="2"/>
  <c r="H27" i="2"/>
  <c r="F27" i="2"/>
  <c r="AT26" i="2"/>
  <c r="AS26" i="2"/>
  <c r="AN26" i="2"/>
  <c r="AM26" i="2"/>
  <c r="AL26" i="2"/>
  <c r="AG26" i="2"/>
  <c r="AF26" i="2"/>
  <c r="AA26" i="2"/>
  <c r="Z26" i="2"/>
  <c r="X26" i="2"/>
  <c r="S26" i="2"/>
  <c r="R26" i="2"/>
  <c r="O26" i="2"/>
  <c r="L26" i="2"/>
  <c r="J26" i="2"/>
  <c r="H26" i="2"/>
  <c r="F26" i="2"/>
  <c r="AT25" i="2"/>
  <c r="AS25" i="2"/>
  <c r="AN25" i="2"/>
  <c r="AM25" i="2"/>
  <c r="AL25" i="2"/>
  <c r="AG25" i="2"/>
  <c r="AF25" i="2"/>
  <c r="AA25" i="2"/>
  <c r="Z25" i="2"/>
  <c r="X25" i="2"/>
  <c r="S25" i="2"/>
  <c r="R25" i="2"/>
  <c r="O25" i="2"/>
  <c r="L25" i="2"/>
  <c r="J25" i="2"/>
  <c r="H25" i="2"/>
  <c r="F25" i="2"/>
  <c r="AT24" i="2"/>
  <c r="AS24" i="2"/>
  <c r="AN24" i="2"/>
  <c r="AM24" i="2"/>
  <c r="AL24" i="2"/>
  <c r="AG24" i="2"/>
  <c r="AF24" i="2"/>
  <c r="AA24" i="2"/>
  <c r="Z24" i="2"/>
  <c r="X24" i="2"/>
  <c r="R24" i="2"/>
  <c r="O24" i="2"/>
  <c r="L24" i="2"/>
  <c r="J24" i="2"/>
  <c r="H24" i="2"/>
  <c r="F24" i="2"/>
  <c r="AT23" i="2"/>
  <c r="AS23" i="2"/>
  <c r="AN23" i="2"/>
  <c r="AM23" i="2"/>
  <c r="AL23" i="2"/>
  <c r="AG23" i="2"/>
  <c r="AF23" i="2"/>
  <c r="AA23" i="2"/>
  <c r="Z23" i="2"/>
  <c r="X23" i="2"/>
  <c r="R23" i="2"/>
  <c r="O23" i="2"/>
  <c r="L23" i="2"/>
  <c r="J23" i="2"/>
  <c r="H23" i="2"/>
  <c r="F23" i="2"/>
  <c r="AT22" i="2"/>
  <c r="AS22" i="2"/>
  <c r="AN22" i="2"/>
  <c r="AM22" i="2"/>
  <c r="AL22" i="2"/>
  <c r="AG22" i="2"/>
  <c r="AF22" i="2"/>
  <c r="AA22" i="2"/>
  <c r="Z22" i="2"/>
  <c r="X22" i="2"/>
  <c r="R22" i="2"/>
  <c r="O22" i="2"/>
  <c r="L22" i="2"/>
  <c r="J22" i="2"/>
  <c r="H22" i="2"/>
  <c r="F22" i="2"/>
  <c r="AT21" i="2"/>
  <c r="AS21" i="2"/>
  <c r="AN21" i="2"/>
  <c r="AM21" i="2"/>
  <c r="AL21" i="2"/>
  <c r="AG21" i="2"/>
  <c r="AF21" i="2"/>
  <c r="AA21" i="2"/>
  <c r="Z21" i="2"/>
  <c r="X21" i="2"/>
  <c r="S21" i="2"/>
  <c r="R21" i="2"/>
  <c r="O21" i="2"/>
  <c r="L21" i="2"/>
  <c r="J21" i="2"/>
  <c r="H21" i="2"/>
  <c r="F21" i="2"/>
  <c r="AT20" i="2"/>
  <c r="AS20" i="2"/>
  <c r="AN20" i="2"/>
  <c r="AM20" i="2"/>
  <c r="AL20" i="2"/>
  <c r="AG20" i="2"/>
  <c r="AF20" i="2"/>
  <c r="AA20" i="2"/>
  <c r="Z20" i="2"/>
  <c r="X20" i="2"/>
  <c r="R20" i="2"/>
  <c r="O20" i="2"/>
  <c r="L20" i="2"/>
  <c r="J20" i="2"/>
  <c r="H20" i="2"/>
  <c r="F20" i="2"/>
  <c r="AT19" i="2"/>
  <c r="AS19" i="2"/>
  <c r="AN19" i="2"/>
  <c r="AM19" i="2"/>
  <c r="AL19" i="2"/>
  <c r="AG19" i="2"/>
  <c r="AF19" i="2"/>
  <c r="AA19" i="2"/>
  <c r="Z19" i="2"/>
  <c r="X19" i="2"/>
  <c r="R19" i="2"/>
  <c r="O19" i="2"/>
  <c r="L19" i="2"/>
  <c r="J19" i="2"/>
  <c r="H19" i="2"/>
  <c r="F19" i="2"/>
  <c r="AT18" i="2"/>
  <c r="AS18" i="2"/>
  <c r="AN18" i="2"/>
  <c r="AM18" i="2"/>
  <c r="AL18" i="2"/>
  <c r="AG18" i="2"/>
  <c r="AF18" i="2"/>
  <c r="AA18" i="2"/>
  <c r="Z18" i="2"/>
  <c r="X18" i="2"/>
  <c r="R18" i="2"/>
  <c r="O18" i="2"/>
  <c r="L18" i="2"/>
  <c r="J18" i="2"/>
  <c r="H18" i="2"/>
  <c r="F18" i="2"/>
  <c r="AT17" i="2"/>
  <c r="AS17" i="2"/>
  <c r="AN17" i="2"/>
  <c r="AM17" i="2"/>
  <c r="AL17" i="2"/>
  <c r="AG17" i="2"/>
  <c r="AF17" i="2"/>
  <c r="AA17" i="2"/>
  <c r="Z17" i="2"/>
  <c r="X17" i="2"/>
  <c r="R17" i="2"/>
  <c r="O17" i="2"/>
  <c r="L17" i="2"/>
  <c r="J17" i="2"/>
  <c r="H17" i="2"/>
  <c r="F17" i="2"/>
  <c r="AT16" i="2"/>
  <c r="AS16" i="2"/>
  <c r="AN16" i="2"/>
  <c r="AM16" i="2"/>
  <c r="AL16" i="2"/>
  <c r="AG16" i="2"/>
  <c r="AF16" i="2"/>
  <c r="AA16" i="2"/>
  <c r="Z16" i="2"/>
  <c r="X16" i="2"/>
  <c r="R16" i="2"/>
  <c r="O16" i="2"/>
  <c r="L16" i="2"/>
  <c r="J16" i="2"/>
  <c r="H16" i="2"/>
  <c r="F16" i="2"/>
  <c r="AT15" i="2"/>
  <c r="AS15" i="2"/>
  <c r="AN15" i="2"/>
  <c r="AM15" i="2"/>
  <c r="AL15" i="2"/>
  <c r="AG15" i="2"/>
  <c r="AF15" i="2"/>
  <c r="AA15" i="2"/>
  <c r="Z15" i="2"/>
  <c r="X15" i="2"/>
  <c r="R15" i="2"/>
  <c r="O15" i="2"/>
  <c r="L15" i="2"/>
  <c r="J15" i="2"/>
  <c r="H15" i="2"/>
  <c r="F15" i="2"/>
  <c r="AT14" i="2"/>
  <c r="AS14" i="2"/>
  <c r="AN14" i="2"/>
  <c r="AM14" i="2"/>
  <c r="AL14" i="2"/>
  <c r="AG14" i="2"/>
  <c r="AF14" i="2"/>
  <c r="AA14" i="2"/>
  <c r="Z14" i="2"/>
  <c r="X14" i="2"/>
  <c r="R14" i="2"/>
  <c r="O14" i="2"/>
  <c r="L14" i="2"/>
  <c r="J14" i="2"/>
  <c r="H14" i="2"/>
  <c r="F14" i="2"/>
  <c r="AT13" i="2"/>
  <c r="AS13" i="2"/>
  <c r="AN13" i="2"/>
  <c r="AM13" i="2"/>
  <c r="AL13" i="2"/>
  <c r="AG13" i="2"/>
  <c r="AF13" i="2"/>
  <c r="AA13" i="2"/>
  <c r="Z13" i="2"/>
  <c r="X13" i="2"/>
  <c r="R13" i="2"/>
  <c r="O13" i="2"/>
  <c r="L13" i="2"/>
  <c r="J13" i="2"/>
  <c r="H13" i="2"/>
  <c r="F13" i="2"/>
  <c r="AT12" i="2"/>
  <c r="AS12" i="2"/>
  <c r="AN12" i="2"/>
  <c r="AM12" i="2"/>
  <c r="AL12" i="2"/>
  <c r="AG12" i="2"/>
  <c r="AF12" i="2"/>
  <c r="AA12" i="2"/>
  <c r="Z12" i="2"/>
  <c r="X12" i="2"/>
  <c r="R12" i="2"/>
  <c r="O12" i="2"/>
  <c r="L12" i="2"/>
  <c r="J12" i="2"/>
  <c r="H12" i="2"/>
  <c r="F12" i="2"/>
  <c r="AT11" i="2"/>
  <c r="AS11" i="2"/>
  <c r="AN11" i="2"/>
  <c r="AM11" i="2"/>
  <c r="AL11" i="2"/>
  <c r="AG11" i="2"/>
  <c r="AF11" i="2"/>
  <c r="AA11" i="2"/>
  <c r="Z11" i="2"/>
  <c r="X11" i="2"/>
  <c r="R11" i="2"/>
  <c r="O11" i="2"/>
  <c r="L11" i="2"/>
  <c r="J11" i="2"/>
  <c r="H11" i="2"/>
  <c r="F11" i="2"/>
  <c r="AT10" i="2"/>
  <c r="AS10" i="2"/>
  <c r="AN10" i="2"/>
  <c r="AM10" i="2"/>
  <c r="AL10" i="2"/>
  <c r="AG10" i="2"/>
  <c r="AF10" i="2"/>
  <c r="AA10" i="2"/>
  <c r="Z10" i="2"/>
  <c r="X10" i="2"/>
  <c r="S10" i="2"/>
  <c r="R10" i="2"/>
  <c r="O10" i="2"/>
  <c r="L10" i="2"/>
  <c r="J10" i="2"/>
  <c r="H10" i="2"/>
  <c r="F10" i="2"/>
  <c r="AT9" i="2"/>
  <c r="AS9" i="2"/>
  <c r="AN9" i="2"/>
  <c r="AM9" i="2"/>
  <c r="AL9" i="2"/>
  <c r="AG9" i="2"/>
  <c r="AF9" i="2"/>
  <c r="AA9" i="2"/>
  <c r="Z9" i="2"/>
  <c r="X9" i="2"/>
  <c r="R9" i="2"/>
  <c r="O9" i="2"/>
  <c r="L9" i="2"/>
  <c r="J9" i="2"/>
  <c r="H9" i="2"/>
  <c r="F9" i="2"/>
  <c r="AT8" i="2"/>
  <c r="AS8" i="2"/>
  <c r="AN8" i="2"/>
  <c r="AM8" i="2"/>
  <c r="AL8" i="2"/>
  <c r="AG8" i="2"/>
  <c r="AF8" i="2"/>
  <c r="AA8" i="2"/>
  <c r="Z8" i="2"/>
  <c r="X8" i="2"/>
  <c r="R8" i="2"/>
  <c r="O8" i="2"/>
  <c r="L8" i="2"/>
  <c r="J8" i="2"/>
  <c r="H8" i="2"/>
  <c r="F8" i="2"/>
  <c r="AV7" i="2"/>
  <c r="AV6" i="2"/>
  <c r="AN6" i="2"/>
  <c r="AL6" i="2"/>
  <c r="AQ3" i="2"/>
  <c r="L3" i="2"/>
  <c r="I3" i="2"/>
  <c r="Z301" i="2"/>
  <c r="C94" i="1"/>
  <c r="AL301" i="2" s="1"/>
  <c r="F91" i="1"/>
  <c r="C7" i="4" s="1"/>
  <c r="AG301" i="2"/>
  <c r="F63" i="1"/>
  <c r="E63" i="1" s="1"/>
  <c r="F62" i="1"/>
  <c r="E62" i="1" s="1"/>
  <c r="I58" i="1"/>
  <c r="D54" i="1"/>
  <c r="C54" i="1" s="1"/>
  <c r="L50" i="1"/>
  <c r="R301" i="2"/>
  <c r="R6" i="2"/>
  <c r="C40" i="1"/>
  <c r="F39" i="1"/>
  <c r="F37" i="1"/>
  <c r="AJ301" i="2"/>
  <c r="D31" i="1"/>
  <c r="C16" i="4"/>
  <c r="M13" i="1"/>
  <c r="M14" i="1" s="1"/>
  <c r="M16" i="1" s="1"/>
  <c r="D5" i="1" l="1"/>
  <c r="P6" i="2" s="1"/>
  <c r="I23" i="3"/>
  <c r="V23" i="3" s="1"/>
  <c r="I28" i="3"/>
  <c r="R46" i="2"/>
  <c r="I9" i="3"/>
  <c r="R9" i="3" s="1"/>
  <c r="I29" i="3"/>
  <c r="I22" i="3"/>
  <c r="W22" i="3" s="1"/>
  <c r="AM294" i="2"/>
  <c r="AM286" i="2"/>
  <c r="AM278" i="2"/>
  <c r="AM270" i="2"/>
  <c r="AM262" i="2"/>
  <c r="AM254" i="2"/>
  <c r="AM246" i="2"/>
  <c r="AM238" i="2"/>
  <c r="AM230" i="2"/>
  <c r="AM222" i="2"/>
  <c r="AM214" i="2"/>
  <c r="AM206" i="2"/>
  <c r="AM198" i="2"/>
  <c r="AM293" i="2"/>
  <c r="AM285" i="2"/>
  <c r="AM277" i="2"/>
  <c r="AM269" i="2"/>
  <c r="AM261" i="2"/>
  <c r="AM253" i="2"/>
  <c r="AM245" i="2"/>
  <c r="AM237" i="2"/>
  <c r="AM229" i="2"/>
  <c r="AM213" i="2"/>
  <c r="AM292" i="2"/>
  <c r="AM284" i="2"/>
  <c r="AM276" i="2"/>
  <c r="AM268" i="2"/>
  <c r="AM260" i="2"/>
  <c r="AM252" i="2"/>
  <c r="AM244" i="2"/>
  <c r="AM236" i="2"/>
  <c r="AM228" i="2"/>
  <c r="AM220" i="2"/>
  <c r="AM212" i="2"/>
  <c r="AM204" i="2"/>
  <c r="AM196" i="2"/>
  <c r="AM289" i="2"/>
  <c r="AM273" i="2"/>
  <c r="AM257" i="2"/>
  <c r="AM241" i="2"/>
  <c r="AM217" i="2"/>
  <c r="AM193" i="2"/>
  <c r="AM255" i="2"/>
  <c r="AM239" i="2"/>
  <c r="AM199" i="2"/>
  <c r="AM221" i="2"/>
  <c r="AM299" i="2"/>
  <c r="AM300" i="2" s="1"/>
  <c r="AM301" i="2" s="1"/>
  <c r="AM291" i="2"/>
  <c r="AM283" i="2"/>
  <c r="AM275" i="2"/>
  <c r="AM267" i="2"/>
  <c r="AM259" i="2"/>
  <c r="AM251" i="2"/>
  <c r="AM243" i="2"/>
  <c r="AM235" i="2"/>
  <c r="AM227" i="2"/>
  <c r="AM219" i="2"/>
  <c r="AM211" i="2"/>
  <c r="AM203" i="2"/>
  <c r="AM195" i="2"/>
  <c r="AM297" i="2"/>
  <c r="AM265" i="2"/>
  <c r="AM249" i="2"/>
  <c r="AM225" i="2"/>
  <c r="AM209" i="2"/>
  <c r="AM263" i="2"/>
  <c r="AM207" i="2"/>
  <c r="AM197" i="2"/>
  <c r="AM298" i="2"/>
  <c r="AM290" i="2"/>
  <c r="AM282" i="2"/>
  <c r="AM274" i="2"/>
  <c r="AM266" i="2"/>
  <c r="AM258" i="2"/>
  <c r="AM250" i="2"/>
  <c r="AM242" i="2"/>
  <c r="AM234" i="2"/>
  <c r="AM226" i="2"/>
  <c r="AM218" i="2"/>
  <c r="AM210" i="2"/>
  <c r="AM202" i="2"/>
  <c r="AM194" i="2"/>
  <c r="AM281" i="2"/>
  <c r="AM233" i="2"/>
  <c r="AM201" i="2"/>
  <c r="AM247" i="2"/>
  <c r="AM231" i="2"/>
  <c r="AM215" i="2"/>
  <c r="AM205" i="2"/>
  <c r="AM296" i="2"/>
  <c r="AM288" i="2"/>
  <c r="AM280" i="2"/>
  <c r="AM272" i="2"/>
  <c r="AM264" i="2"/>
  <c r="AM256" i="2"/>
  <c r="AM248" i="2"/>
  <c r="AM240" i="2"/>
  <c r="AM232" i="2"/>
  <c r="AM224" i="2"/>
  <c r="AM216" i="2"/>
  <c r="AM208" i="2"/>
  <c r="AM200" i="2"/>
  <c r="AM192" i="2"/>
  <c r="AM295" i="2"/>
  <c r="AM287" i="2"/>
  <c r="AM279" i="2"/>
  <c r="AM271" i="2"/>
  <c r="AM223" i="2"/>
  <c r="AM191" i="2"/>
  <c r="C8" i="4"/>
  <c r="Z6" i="2"/>
  <c r="C25" i="4"/>
  <c r="AG6" i="2"/>
  <c r="I10" i="3"/>
  <c r="Q10" i="3" s="1"/>
  <c r="I25" i="3"/>
  <c r="T25" i="3" s="1"/>
  <c r="C24" i="4"/>
  <c r="AM6" i="2"/>
  <c r="O47" i="2"/>
  <c r="G46" i="2"/>
  <c r="H46" i="2" s="1"/>
  <c r="I15" i="3"/>
  <c r="V15" i="3" s="1"/>
  <c r="I32" i="3"/>
  <c r="I7" i="3"/>
  <c r="T7" i="3" s="1"/>
  <c r="I30" i="3"/>
  <c r="AL47" i="2"/>
  <c r="I31" i="3"/>
  <c r="Z47" i="2"/>
  <c r="S47" i="2"/>
  <c r="T47" i="2" s="1"/>
  <c r="AA6" i="2"/>
  <c r="E47" i="2"/>
  <c r="F47" i="2" s="1"/>
  <c r="AC325" i="2"/>
  <c r="AC143" i="2"/>
  <c r="AC153" i="2"/>
  <c r="AC163" i="2"/>
  <c r="AC188" i="2"/>
  <c r="AC69" i="2"/>
  <c r="AC75" i="2"/>
  <c r="AC125" i="2"/>
  <c r="Y159" i="2"/>
  <c r="AC123" i="2"/>
  <c r="U20" i="2"/>
  <c r="AC100" i="2"/>
  <c r="AC16" i="2"/>
  <c r="AC102" i="2"/>
  <c r="AC57" i="2"/>
  <c r="AC126" i="2"/>
  <c r="AC162" i="2"/>
  <c r="AC182" i="2"/>
  <c r="Y170" i="2"/>
  <c r="AC27" i="2"/>
  <c r="AC63" i="2"/>
  <c r="Y171" i="2"/>
  <c r="U9" i="2"/>
  <c r="AC72" i="2"/>
  <c r="V9" i="2"/>
  <c r="AC26" i="2"/>
  <c r="AC38" i="2"/>
  <c r="AC59" i="2"/>
  <c r="AC85" i="2"/>
  <c r="AC184" i="2"/>
  <c r="U22" i="2"/>
  <c r="AC31" i="2"/>
  <c r="AC149" i="2"/>
  <c r="V16" i="2"/>
  <c r="AC40" i="2"/>
  <c r="AC52" i="2"/>
  <c r="AC55" i="2"/>
  <c r="AC65" i="2"/>
  <c r="AC116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C44" i="2"/>
  <c r="AC64" i="2"/>
  <c r="AC82" i="2"/>
  <c r="AC114" i="2"/>
  <c r="AC119" i="2"/>
  <c r="AC124" i="2"/>
  <c r="AC138" i="2"/>
  <c r="AC151" i="2"/>
  <c r="AC160" i="2"/>
  <c r="AC165" i="2"/>
  <c r="AC169" i="2"/>
  <c r="AC170" i="2"/>
  <c r="F306" i="2"/>
  <c r="AC12" i="2"/>
  <c r="AC37" i="2"/>
  <c r="Y169" i="2"/>
  <c r="AC303" i="2"/>
  <c r="AC8" i="2"/>
  <c r="AC13" i="2"/>
  <c r="Y37" i="2"/>
  <c r="AC67" i="2"/>
  <c r="AC70" i="2"/>
  <c r="AC73" i="2"/>
  <c r="AC76" i="2"/>
  <c r="AC90" i="2"/>
  <c r="AC96" i="2"/>
  <c r="AC104" i="2"/>
  <c r="AC105" i="2"/>
  <c r="AC108" i="2"/>
  <c r="AC109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C91" i="2"/>
  <c r="AC147" i="2"/>
  <c r="AC161" i="2"/>
  <c r="AC305" i="2"/>
  <c r="AC14" i="2"/>
  <c r="AC10" i="2"/>
  <c r="U24" i="2"/>
  <c r="V12" i="2"/>
  <c r="U16" i="2"/>
  <c r="V22" i="2"/>
  <c r="AC32" i="2"/>
  <c r="AC48" i="2"/>
  <c r="AC58" i="2"/>
  <c r="AC89" i="2"/>
  <c r="AC94" i="2"/>
  <c r="AC118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91" i="2"/>
  <c r="AG289" i="2"/>
  <c r="AG290" i="2"/>
  <c r="AG288" i="2"/>
  <c r="AG287" i="2"/>
  <c r="AG294" i="2"/>
  <c r="AG292" i="2"/>
  <c r="AG224" i="2"/>
  <c r="AG227" i="2"/>
  <c r="AG297" i="2"/>
  <c r="AG230" i="2"/>
  <c r="AG222" i="2"/>
  <c r="AG225" i="2"/>
  <c r="AG228" i="2"/>
  <c r="AG223" i="2"/>
  <c r="AG226" i="2"/>
  <c r="AG229" i="2"/>
  <c r="AG221" i="2"/>
  <c r="AG47" i="2"/>
  <c r="AG192" i="2"/>
  <c r="C26" i="4"/>
  <c r="AJ296" i="2"/>
  <c r="AJ294" i="2"/>
  <c r="AJ293" i="2"/>
  <c r="AJ295" i="2"/>
  <c r="AJ291" i="2"/>
  <c r="AJ283" i="2"/>
  <c r="AJ289" i="2"/>
  <c r="AJ281" i="2"/>
  <c r="AJ284" i="2"/>
  <c r="AJ276" i="2"/>
  <c r="AJ298" i="2"/>
  <c r="AJ297" i="2"/>
  <c r="AJ292" i="2"/>
  <c r="AJ287" i="2"/>
  <c r="AJ279" i="2"/>
  <c r="AJ288" i="2"/>
  <c r="AJ280" i="2"/>
  <c r="AJ282" i="2"/>
  <c r="AJ274" i="2"/>
  <c r="AJ266" i="2"/>
  <c r="AJ258" i="2"/>
  <c r="AJ269" i="2"/>
  <c r="AJ290" i="2"/>
  <c r="AJ285" i="2"/>
  <c r="AJ277" i="2"/>
  <c r="AJ272" i="2"/>
  <c r="AJ264" i="2"/>
  <c r="AJ299" i="2"/>
  <c r="AJ267" i="2"/>
  <c r="AJ259" i="2"/>
  <c r="AJ278" i="2"/>
  <c r="AJ270" i="2"/>
  <c r="AJ262" i="2"/>
  <c r="AJ273" i="2"/>
  <c r="AJ265" i="2"/>
  <c r="AJ286" i="2"/>
  <c r="AJ268" i="2"/>
  <c r="AJ253" i="2"/>
  <c r="AJ245" i="2"/>
  <c r="AJ256" i="2"/>
  <c r="AJ248" i="2"/>
  <c r="AJ240" i="2"/>
  <c r="AJ251" i="2"/>
  <c r="AJ243" i="2"/>
  <c r="AJ254" i="2"/>
  <c r="AJ246" i="2"/>
  <c r="AJ238" i="2"/>
  <c r="AJ271" i="2"/>
  <c r="AJ263" i="2"/>
  <c r="AJ260" i="2"/>
  <c r="AJ257" i="2"/>
  <c r="AJ249" i="2"/>
  <c r="AJ241" i="2"/>
  <c r="AJ250" i="2"/>
  <c r="AJ242" i="2"/>
  <c r="AJ275" i="2"/>
  <c r="AJ255" i="2"/>
  <c r="AJ247" i="2"/>
  <c r="AJ239" i="2"/>
  <c r="AJ230" i="2"/>
  <c r="AJ222" i="2"/>
  <c r="AJ233" i="2"/>
  <c r="AJ225" i="2"/>
  <c r="AJ217" i="2"/>
  <c r="AJ236" i="2"/>
  <c r="AJ228" i="2"/>
  <c r="AJ261" i="2"/>
  <c r="AJ231" i="2"/>
  <c r="AJ223" i="2"/>
  <c r="AJ252" i="2"/>
  <c r="AJ244" i="2"/>
  <c r="AJ234" i="2"/>
  <c r="AJ226" i="2"/>
  <c r="AJ218" i="2"/>
  <c r="AJ237" i="2"/>
  <c r="AJ229" i="2"/>
  <c r="AJ221" i="2"/>
  <c r="AJ232" i="2"/>
  <c r="AJ224" i="2"/>
  <c r="AJ235" i="2"/>
  <c r="AJ211" i="2"/>
  <c r="AJ203" i="2"/>
  <c r="AJ227" i="2"/>
  <c r="AJ214" i="2"/>
  <c r="AJ206" i="2"/>
  <c r="AJ198" i="2"/>
  <c r="AJ209" i="2"/>
  <c r="AJ201" i="2"/>
  <c r="AJ220" i="2"/>
  <c r="AJ212" i="2"/>
  <c r="AJ204" i="2"/>
  <c r="AJ215" i="2"/>
  <c r="AJ207" i="2"/>
  <c r="AJ199" i="2"/>
  <c r="AJ219" i="2"/>
  <c r="AJ210" i="2"/>
  <c r="AJ202" i="2"/>
  <c r="AJ216" i="2"/>
  <c r="AJ208" i="2"/>
  <c r="AJ200" i="2"/>
  <c r="AJ197" i="2"/>
  <c r="AJ191" i="2"/>
  <c r="AJ194" i="2"/>
  <c r="AJ205" i="2"/>
  <c r="AJ192" i="2"/>
  <c r="AJ195" i="2"/>
  <c r="AJ213" i="2"/>
  <c r="AJ193" i="2"/>
  <c r="AJ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N223" i="2"/>
  <c r="AN226" i="2"/>
  <c r="AN218" i="2"/>
  <c r="AN221" i="2"/>
  <c r="AN224" i="2"/>
  <c r="AN219" i="2"/>
  <c r="AN222" i="2"/>
  <c r="AN225" i="2"/>
  <c r="AN212" i="2"/>
  <c r="AN204" i="2"/>
  <c r="AN196" i="2"/>
  <c r="AN220" i="2"/>
  <c r="AN215" i="2"/>
  <c r="AN207" i="2"/>
  <c r="AN199" i="2"/>
  <c r="AN210" i="2"/>
  <c r="AN202" i="2"/>
  <c r="AN217" i="2"/>
  <c r="AN213" i="2"/>
  <c r="AN205" i="2"/>
  <c r="AN197" i="2"/>
  <c r="AN216" i="2"/>
  <c r="AN208" i="2"/>
  <c r="AN200" i="2"/>
  <c r="AN211" i="2"/>
  <c r="AN203" i="2"/>
  <c r="AN209" i="2"/>
  <c r="AN201" i="2"/>
  <c r="AN206" i="2"/>
  <c r="AN192" i="2"/>
  <c r="AN195" i="2"/>
  <c r="AN198" i="2"/>
  <c r="AN193" i="2"/>
  <c r="AN214" i="2"/>
  <c r="AN194" i="2"/>
  <c r="AN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N299" i="2"/>
  <c r="AN297" i="2"/>
  <c r="AN295" i="2"/>
  <c r="AN294" i="2"/>
  <c r="AN284" i="2"/>
  <c r="AN298" i="2"/>
  <c r="AN290" i="2"/>
  <c r="AN282" i="2"/>
  <c r="AN285" i="2"/>
  <c r="AN277" i="2"/>
  <c r="AN293" i="2"/>
  <c r="AN288" i="2"/>
  <c r="AN280" i="2"/>
  <c r="AN289" i="2"/>
  <c r="AN281" i="2"/>
  <c r="AN267" i="2"/>
  <c r="AN259" i="2"/>
  <c r="AN292" i="2"/>
  <c r="AN291" i="2"/>
  <c r="AN270" i="2"/>
  <c r="AN262" i="2"/>
  <c r="AN278" i="2"/>
  <c r="AN273" i="2"/>
  <c r="AN265" i="2"/>
  <c r="AN275" i="2"/>
  <c r="AN268" i="2"/>
  <c r="AN260" i="2"/>
  <c r="AN286" i="2"/>
  <c r="AN279" i="2"/>
  <c r="AN276" i="2"/>
  <c r="AN271" i="2"/>
  <c r="AN263" i="2"/>
  <c r="AN274" i="2"/>
  <c r="AN266" i="2"/>
  <c r="AN283" i="2"/>
  <c r="AN254" i="2"/>
  <c r="AN246" i="2"/>
  <c r="AN238" i="2"/>
  <c r="AN272" i="2"/>
  <c r="AN264" i="2"/>
  <c r="AN258" i="2"/>
  <c r="AN257" i="2"/>
  <c r="AN249" i="2"/>
  <c r="AN241" i="2"/>
  <c r="AN252" i="2"/>
  <c r="AN244" i="2"/>
  <c r="AN269" i="2"/>
  <c r="AN261" i="2"/>
  <c r="AN255" i="2"/>
  <c r="AN247" i="2"/>
  <c r="AN239" i="2"/>
  <c r="AN250" i="2"/>
  <c r="AN242" i="2"/>
  <c r="AN251" i="2"/>
  <c r="AN243" i="2"/>
  <c r="AN231" i="2"/>
  <c r="AN296" i="2"/>
  <c r="AN234" i="2"/>
  <c r="AN287" i="2"/>
  <c r="AN237" i="2"/>
  <c r="AN229" i="2"/>
  <c r="AN232" i="2"/>
  <c r="AN235" i="2"/>
  <c r="AN227" i="2"/>
  <c r="AN256" i="2"/>
  <c r="AN248" i="2"/>
  <c r="AN240" i="2"/>
  <c r="AN230" i="2"/>
  <c r="AN233" i="2"/>
  <c r="AN253" i="2"/>
  <c r="AN245" i="2"/>
  <c r="AN228" i="2"/>
  <c r="AN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C131" i="2"/>
  <c r="T131" i="2"/>
  <c r="M131" i="2" s="1"/>
  <c r="T138" i="2"/>
  <c r="M138" i="2" s="1"/>
  <c r="AC146" i="2"/>
  <c r="AC152" i="2"/>
  <c r="Y168" i="2"/>
  <c r="AC168" i="2"/>
  <c r="T178" i="2"/>
  <c r="M178" i="2" s="1"/>
  <c r="T187" i="2"/>
  <c r="M187" i="2" s="1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E308" i="2"/>
  <c r="T280" i="2"/>
  <c r="T281" i="2"/>
  <c r="T293" i="2"/>
  <c r="T292" i="2"/>
  <c r="M292" i="2" s="1"/>
  <c r="AC322" i="2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G14" i="3"/>
  <c r="D14" i="3"/>
  <c r="AC326" i="2"/>
  <c r="K4" i="4"/>
  <c r="I4" i="4"/>
  <c r="G4" i="4"/>
  <c r="W24" i="3"/>
  <c r="V24" i="3"/>
  <c r="U24" i="3"/>
  <c r="T24" i="3"/>
  <c r="S24" i="3"/>
  <c r="R24" i="3"/>
  <c r="AC324" i="2"/>
  <c r="E4" i="4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H32" i="2" l="1"/>
  <c r="AI32" i="2" s="1"/>
  <c r="AO32" i="2" s="1"/>
  <c r="P15" i="2"/>
  <c r="AH15" i="2" s="1"/>
  <c r="AI15" i="2" s="1"/>
  <c r="AO15" i="2" s="1"/>
  <c r="AH122" i="2"/>
  <c r="AI122" i="2" s="1"/>
  <c r="AO122" i="2" s="1"/>
  <c r="AH125" i="2"/>
  <c r="AI125" i="2" s="1"/>
  <c r="AO125" i="2" s="1"/>
  <c r="AH175" i="2"/>
  <c r="AI175" i="2" s="1"/>
  <c r="AO175" i="2" s="1"/>
  <c r="AH56" i="2"/>
  <c r="AI56" i="2" s="1"/>
  <c r="AO56" i="2" s="1"/>
  <c r="AH179" i="2"/>
  <c r="AI179" i="2" s="1"/>
  <c r="AO179" i="2" s="1"/>
  <c r="AH66" i="2"/>
  <c r="AI66" i="2" s="1"/>
  <c r="AO66" i="2" s="1"/>
  <c r="AH87" i="2"/>
  <c r="AI87" i="2" s="1"/>
  <c r="AO87" i="2" s="1"/>
  <c r="AH40" i="2"/>
  <c r="AI40" i="2" s="1"/>
  <c r="AO40" i="2" s="1"/>
  <c r="AH39" i="2"/>
  <c r="AI39" i="2" s="1"/>
  <c r="AO39" i="2" s="1"/>
  <c r="AH188" i="2"/>
  <c r="AI188" i="2" s="1"/>
  <c r="AO188" i="2" s="1"/>
  <c r="AH143" i="2"/>
  <c r="AI143" i="2" s="1"/>
  <c r="AO143" i="2" s="1"/>
  <c r="AH139" i="2"/>
  <c r="AI139" i="2" s="1"/>
  <c r="AO139" i="2" s="1"/>
  <c r="AH190" i="2"/>
  <c r="AI190" i="2" s="1"/>
  <c r="AO190" i="2" s="1"/>
  <c r="AH180" i="2"/>
  <c r="AI180" i="2" s="1"/>
  <c r="AO180" i="2" s="1"/>
  <c r="AH305" i="2"/>
  <c r="AI305" i="2" s="1"/>
  <c r="AO305" i="2" s="1"/>
  <c r="AH303" i="2"/>
  <c r="AI303" i="2" s="1"/>
  <c r="AO303" i="2" s="1"/>
  <c r="AH90" i="2"/>
  <c r="AI90" i="2" s="1"/>
  <c r="AO90" i="2" s="1"/>
  <c r="AH79" i="2"/>
  <c r="AI79" i="2" s="1"/>
  <c r="AO79" i="2" s="1"/>
  <c r="AH144" i="2"/>
  <c r="AI144" i="2" s="1"/>
  <c r="AO144" i="2" s="1"/>
  <c r="AH120" i="2"/>
  <c r="AI120" i="2" s="1"/>
  <c r="AO120" i="2" s="1"/>
  <c r="AH147" i="2"/>
  <c r="AI147" i="2" s="1"/>
  <c r="AO147" i="2" s="1"/>
  <c r="AH74" i="2"/>
  <c r="AI74" i="2" s="1"/>
  <c r="AO74" i="2" s="1"/>
  <c r="AH55" i="2"/>
  <c r="AI55" i="2" s="1"/>
  <c r="AO55" i="2" s="1"/>
  <c r="AH69" i="2"/>
  <c r="AI69" i="2" s="1"/>
  <c r="AO69" i="2" s="1"/>
  <c r="AH131" i="2"/>
  <c r="AI131" i="2" s="1"/>
  <c r="AO131" i="2" s="1"/>
  <c r="AH112" i="2"/>
  <c r="AI112" i="2" s="1"/>
  <c r="AO112" i="2" s="1"/>
  <c r="AH101" i="2"/>
  <c r="AI101" i="2" s="1"/>
  <c r="AO101" i="2" s="1"/>
  <c r="AH13" i="2"/>
  <c r="AI13" i="2" s="1"/>
  <c r="AO13" i="2" s="1"/>
  <c r="AH33" i="2"/>
  <c r="AI33" i="2" s="1"/>
  <c r="AO33" i="2" s="1"/>
  <c r="AH91" i="2"/>
  <c r="AI91" i="2" s="1"/>
  <c r="AO91" i="2" s="1"/>
  <c r="AH304" i="2"/>
  <c r="AI304" i="2" s="1"/>
  <c r="AO304" i="2" s="1"/>
  <c r="AH183" i="2"/>
  <c r="AI183" i="2" s="1"/>
  <c r="AO183" i="2" s="1"/>
  <c r="AH111" i="2"/>
  <c r="AI111" i="2" s="1"/>
  <c r="AO111" i="2" s="1"/>
  <c r="AH34" i="2"/>
  <c r="AI34" i="2" s="1"/>
  <c r="AO34" i="2" s="1"/>
  <c r="AH154" i="2"/>
  <c r="AI154" i="2" s="1"/>
  <c r="AO154" i="2" s="1"/>
  <c r="AH98" i="2"/>
  <c r="AI98" i="2" s="1"/>
  <c r="AO98" i="2" s="1"/>
  <c r="AH35" i="2"/>
  <c r="AI35" i="2" s="1"/>
  <c r="AO35" i="2" s="1"/>
  <c r="AH16" i="2"/>
  <c r="AI16" i="2" s="1"/>
  <c r="AO16" i="2" s="1"/>
  <c r="AH73" i="2"/>
  <c r="AI73" i="2" s="1"/>
  <c r="AO73" i="2" s="1"/>
  <c r="AH102" i="2"/>
  <c r="AI102" i="2" s="1"/>
  <c r="AO102" i="2" s="1"/>
  <c r="AH52" i="2"/>
  <c r="AI52" i="2" s="1"/>
  <c r="AO52" i="2" s="1"/>
  <c r="AH118" i="2"/>
  <c r="AI118" i="2" s="1"/>
  <c r="AO118" i="2" s="1"/>
  <c r="AH119" i="2"/>
  <c r="AI119" i="2" s="1"/>
  <c r="AO119" i="2" s="1"/>
  <c r="AH150" i="2"/>
  <c r="AI150" i="2" s="1"/>
  <c r="AO150" i="2" s="1"/>
  <c r="AH323" i="2"/>
  <c r="AI323" i="2" s="1"/>
  <c r="AO323" i="2" s="1"/>
  <c r="AH23" i="2"/>
  <c r="AI23" i="2" s="1"/>
  <c r="AO23" i="2" s="1"/>
  <c r="AH156" i="2"/>
  <c r="AI156" i="2" s="1"/>
  <c r="AO156" i="2" s="1"/>
  <c r="AH168" i="2"/>
  <c r="AI168" i="2" s="1"/>
  <c r="AO168" i="2" s="1"/>
  <c r="AH178" i="2"/>
  <c r="AI178" i="2" s="1"/>
  <c r="AO178" i="2" s="1"/>
  <c r="AH121" i="2"/>
  <c r="AI121" i="2" s="1"/>
  <c r="AO121" i="2" s="1"/>
  <c r="AH36" i="2"/>
  <c r="AI36" i="2" s="1"/>
  <c r="AO36" i="2" s="1"/>
  <c r="AH161" i="2"/>
  <c r="AI161" i="2" s="1"/>
  <c r="AO161" i="2" s="1"/>
  <c r="AH177" i="2"/>
  <c r="AI177" i="2" s="1"/>
  <c r="AO177" i="2" s="1"/>
  <c r="AH128" i="2"/>
  <c r="AI128" i="2" s="1"/>
  <c r="AO128" i="2" s="1"/>
  <c r="AH172" i="2"/>
  <c r="AI172" i="2" s="1"/>
  <c r="AO172" i="2" s="1"/>
  <c r="AH132" i="2"/>
  <c r="AI132" i="2" s="1"/>
  <c r="AO132" i="2" s="1"/>
  <c r="AH96" i="2"/>
  <c r="AI96" i="2" s="1"/>
  <c r="AO96" i="2" s="1"/>
  <c r="AH95" i="2"/>
  <c r="AI95" i="2" s="1"/>
  <c r="AO95" i="2" s="1"/>
  <c r="AH12" i="2"/>
  <c r="AI12" i="2" s="1"/>
  <c r="AO12" i="2" s="1"/>
  <c r="AH85" i="2"/>
  <c r="AI85" i="2" s="1"/>
  <c r="AO85" i="2" s="1"/>
  <c r="AH21" i="2"/>
  <c r="AI21" i="2" s="1"/>
  <c r="AO21" i="2" s="1"/>
  <c r="AH89" i="2"/>
  <c r="AI89" i="2" s="1"/>
  <c r="AO89" i="2" s="1"/>
  <c r="AH48" i="2"/>
  <c r="AI48" i="2" s="1"/>
  <c r="AO48" i="2" s="1"/>
  <c r="AH71" i="2"/>
  <c r="AI71" i="2" s="1"/>
  <c r="AO71" i="2" s="1"/>
  <c r="AH149" i="2"/>
  <c r="AI149" i="2" s="1"/>
  <c r="AO149" i="2" s="1"/>
  <c r="AH159" i="2"/>
  <c r="AI159" i="2" s="1"/>
  <c r="AO159" i="2" s="1"/>
  <c r="AH133" i="2"/>
  <c r="AI133" i="2" s="1"/>
  <c r="AO133" i="2" s="1"/>
  <c r="AH141" i="2"/>
  <c r="AI141" i="2" s="1"/>
  <c r="AO141" i="2" s="1"/>
  <c r="AH129" i="2"/>
  <c r="AI129" i="2" s="1"/>
  <c r="AO129" i="2" s="1"/>
  <c r="AH148" i="2"/>
  <c r="AI148" i="2" s="1"/>
  <c r="AO148" i="2" s="1"/>
  <c r="AH184" i="2"/>
  <c r="AI184" i="2" s="1"/>
  <c r="AO184" i="2" s="1"/>
  <c r="AH181" i="2"/>
  <c r="AI181" i="2" s="1"/>
  <c r="AO181" i="2" s="1"/>
  <c r="AH81" i="2"/>
  <c r="AI81" i="2" s="1"/>
  <c r="AO81" i="2" s="1"/>
  <c r="AH19" i="2"/>
  <c r="AI19" i="2" s="1"/>
  <c r="AO19" i="2" s="1"/>
  <c r="AH86" i="2"/>
  <c r="AI86" i="2" s="1"/>
  <c r="AO86" i="2" s="1"/>
  <c r="AH9" i="2"/>
  <c r="AI9" i="2" s="1"/>
  <c r="AO9" i="2" s="1"/>
  <c r="AH60" i="2"/>
  <c r="AI60" i="2" s="1"/>
  <c r="AO60" i="2" s="1"/>
  <c r="AH64" i="2"/>
  <c r="AI64" i="2" s="1"/>
  <c r="AO64" i="2" s="1"/>
  <c r="AH11" i="2"/>
  <c r="AI11" i="2" s="1"/>
  <c r="AO11" i="2" s="1"/>
  <c r="AH22" i="2"/>
  <c r="AI22" i="2" s="1"/>
  <c r="AO22" i="2" s="1"/>
  <c r="AH103" i="2"/>
  <c r="AI103" i="2" s="1"/>
  <c r="AO103" i="2" s="1"/>
  <c r="AH324" i="2"/>
  <c r="AI324" i="2" s="1"/>
  <c r="AO324" i="2" s="1"/>
  <c r="AH152" i="2"/>
  <c r="AI152" i="2" s="1"/>
  <c r="AO152" i="2" s="1"/>
  <c r="AH173" i="2"/>
  <c r="AI173" i="2" s="1"/>
  <c r="AO173" i="2" s="1"/>
  <c r="AH80" i="2"/>
  <c r="AI80" i="2" s="1"/>
  <c r="AO80" i="2" s="1"/>
  <c r="AH45" i="2"/>
  <c r="AI45" i="2" s="1"/>
  <c r="AO45" i="2" s="1"/>
  <c r="AH62" i="2"/>
  <c r="AI62" i="2" s="1"/>
  <c r="AO62" i="2" s="1"/>
  <c r="AH8" i="2"/>
  <c r="AI8" i="2" s="1"/>
  <c r="AO8" i="2" s="1"/>
  <c r="AH25" i="2"/>
  <c r="AI25" i="2" s="1"/>
  <c r="AO25" i="2" s="1"/>
  <c r="AH53" i="2"/>
  <c r="AI53" i="2" s="1"/>
  <c r="AO53" i="2" s="1"/>
  <c r="AH94" i="2"/>
  <c r="AI94" i="2" s="1"/>
  <c r="AO94" i="2" s="1"/>
  <c r="AH59" i="2"/>
  <c r="AI59" i="2" s="1"/>
  <c r="AO59" i="2" s="1"/>
  <c r="AH31" i="2"/>
  <c r="AI31" i="2" s="1"/>
  <c r="AO31" i="2" s="1"/>
  <c r="AH28" i="2"/>
  <c r="AI28" i="2" s="1"/>
  <c r="AO28" i="2" s="1"/>
  <c r="AH63" i="2"/>
  <c r="AI63" i="2" s="1"/>
  <c r="AO63" i="2" s="1"/>
  <c r="AH108" i="2"/>
  <c r="AI108" i="2" s="1"/>
  <c r="AO108" i="2" s="1"/>
  <c r="AH106" i="2"/>
  <c r="AI106" i="2" s="1"/>
  <c r="AO106" i="2" s="1"/>
  <c r="AH182" i="2"/>
  <c r="AI182" i="2" s="1"/>
  <c r="AO182" i="2" s="1"/>
  <c r="AH107" i="2"/>
  <c r="AI107" i="2" s="1"/>
  <c r="AO107" i="2" s="1"/>
  <c r="AH140" i="2"/>
  <c r="AI140" i="2" s="1"/>
  <c r="AO140" i="2" s="1"/>
  <c r="AH158" i="2"/>
  <c r="AI158" i="2" s="1"/>
  <c r="AH170" i="2"/>
  <c r="AI170" i="2" s="1"/>
  <c r="AO170" i="2" s="1"/>
  <c r="AH302" i="2"/>
  <c r="AI302" i="2" s="1"/>
  <c r="AO302" i="2" s="1"/>
  <c r="AH326" i="2"/>
  <c r="AI326" i="2" s="1"/>
  <c r="AO326" i="2" s="1"/>
  <c r="AH99" i="2"/>
  <c r="AI99" i="2" s="1"/>
  <c r="AO99" i="2" s="1"/>
  <c r="AH142" i="2"/>
  <c r="AI142" i="2" s="1"/>
  <c r="AO142" i="2" s="1"/>
  <c r="AH136" i="2"/>
  <c r="AI136" i="2" s="1"/>
  <c r="AO136" i="2" s="1"/>
  <c r="AH126" i="2"/>
  <c r="AI126" i="2" s="1"/>
  <c r="AO126" i="2" s="1"/>
  <c r="AH18" i="2"/>
  <c r="AI18" i="2" s="1"/>
  <c r="AO18" i="2" s="1"/>
  <c r="AH83" i="2"/>
  <c r="AI83" i="2" s="1"/>
  <c r="AO83" i="2" s="1"/>
  <c r="AH14" i="2"/>
  <c r="AI14" i="2" s="1"/>
  <c r="AO14" i="2" s="1"/>
  <c r="AH84" i="2"/>
  <c r="AI84" i="2" s="1"/>
  <c r="AO84" i="2" s="1"/>
  <c r="AH29" i="2"/>
  <c r="AI29" i="2" s="1"/>
  <c r="AO29" i="2" s="1"/>
  <c r="AH26" i="2"/>
  <c r="AI26" i="2" s="1"/>
  <c r="AO26" i="2" s="1"/>
  <c r="AH187" i="2"/>
  <c r="AI187" i="2" s="1"/>
  <c r="AO187" i="2" s="1"/>
  <c r="AH42" i="2"/>
  <c r="AI42" i="2" s="1"/>
  <c r="AO42" i="2" s="1"/>
  <c r="AH137" i="2"/>
  <c r="AI137" i="2" s="1"/>
  <c r="AO137" i="2" s="1"/>
  <c r="AH105" i="2"/>
  <c r="AI105" i="2" s="1"/>
  <c r="AO105" i="2" s="1"/>
  <c r="AH127" i="2"/>
  <c r="AI127" i="2" s="1"/>
  <c r="AO127" i="2" s="1"/>
  <c r="AH75" i="2"/>
  <c r="AI75" i="2" s="1"/>
  <c r="AO75" i="2" s="1"/>
  <c r="AH135" i="2"/>
  <c r="AI135" i="2" s="1"/>
  <c r="AO135" i="2" s="1"/>
  <c r="AH163" i="2"/>
  <c r="AI163" i="2" s="1"/>
  <c r="AO163" i="2" s="1"/>
  <c r="AH54" i="2"/>
  <c r="AI54" i="2" s="1"/>
  <c r="AO54" i="2" s="1"/>
  <c r="AH134" i="2"/>
  <c r="AI134" i="2" s="1"/>
  <c r="AO134" i="2" s="1"/>
  <c r="AH160" i="2"/>
  <c r="AI160" i="2" s="1"/>
  <c r="AO160" i="2" s="1"/>
  <c r="AH138" i="2"/>
  <c r="AI138" i="2" s="1"/>
  <c r="AO138" i="2" s="1"/>
  <c r="AH124" i="2"/>
  <c r="AI124" i="2" s="1"/>
  <c r="AO124" i="2" s="1"/>
  <c r="AH116" i="2"/>
  <c r="AI116" i="2" s="1"/>
  <c r="AO116" i="2" s="1"/>
  <c r="AH49" i="2"/>
  <c r="AI49" i="2" s="1"/>
  <c r="AO49" i="2" s="1"/>
  <c r="AH58" i="2"/>
  <c r="AI58" i="2" s="1"/>
  <c r="AO58" i="2" s="1"/>
  <c r="AH68" i="2"/>
  <c r="AI68" i="2" s="1"/>
  <c r="AO68" i="2" s="1"/>
  <c r="AH17" i="2"/>
  <c r="AI17" i="2" s="1"/>
  <c r="AO17" i="2" s="1"/>
  <c r="AH92" i="2"/>
  <c r="AI92" i="2" s="1"/>
  <c r="AO92" i="2" s="1"/>
  <c r="AH97" i="2"/>
  <c r="AI97" i="2" s="1"/>
  <c r="AO97" i="2" s="1"/>
  <c r="AH67" i="2"/>
  <c r="AI67" i="2" s="1"/>
  <c r="AO67" i="2" s="1"/>
  <c r="AH77" i="2"/>
  <c r="AI77" i="2" s="1"/>
  <c r="AO77" i="2" s="1"/>
  <c r="AH115" i="2"/>
  <c r="AI115" i="2" s="1"/>
  <c r="AO115" i="2" s="1"/>
  <c r="AH88" i="2"/>
  <c r="AI88" i="2" s="1"/>
  <c r="AO88" i="2" s="1"/>
  <c r="AH76" i="2"/>
  <c r="AI76" i="2" s="1"/>
  <c r="AO76" i="2" s="1"/>
  <c r="AH167" i="2"/>
  <c r="AI167" i="2" s="1"/>
  <c r="AO167" i="2" s="1"/>
  <c r="AH38" i="2"/>
  <c r="AI38" i="2" s="1"/>
  <c r="AO38" i="2" s="1"/>
  <c r="AH20" i="2"/>
  <c r="AI20" i="2" s="1"/>
  <c r="AO20" i="2" s="1"/>
  <c r="AH100" i="2"/>
  <c r="AI100" i="2" s="1"/>
  <c r="AO100" i="2" s="1"/>
  <c r="AH169" i="2"/>
  <c r="AI169" i="2" s="1"/>
  <c r="AO169" i="2" s="1"/>
  <c r="AH185" i="2"/>
  <c r="AI185" i="2" s="1"/>
  <c r="AO185" i="2" s="1"/>
  <c r="AH171" i="2"/>
  <c r="AI171" i="2" s="1"/>
  <c r="AO171" i="2" s="1"/>
  <c r="AH104" i="2"/>
  <c r="AI104" i="2" s="1"/>
  <c r="AO104" i="2" s="1"/>
  <c r="AH24" i="2"/>
  <c r="AI24" i="2" s="1"/>
  <c r="AO24" i="2" s="1"/>
  <c r="AH27" i="2"/>
  <c r="AI27" i="2" s="1"/>
  <c r="AO27" i="2" s="1"/>
  <c r="AH164" i="2"/>
  <c r="AI164" i="2" s="1"/>
  <c r="AO164" i="2" s="1"/>
  <c r="AH189" i="2"/>
  <c r="AI189" i="2" s="1"/>
  <c r="AO189" i="2" s="1"/>
  <c r="AH113" i="2"/>
  <c r="AI113" i="2" s="1"/>
  <c r="AO113" i="2" s="1"/>
  <c r="AH82" i="2"/>
  <c r="AI82" i="2" s="1"/>
  <c r="AO82" i="2" s="1"/>
  <c r="AH325" i="2"/>
  <c r="AI325" i="2" s="1"/>
  <c r="AO325" i="2" s="1"/>
  <c r="AH166" i="2"/>
  <c r="AI166" i="2" s="1"/>
  <c r="AO166" i="2" s="1"/>
  <c r="AH61" i="2"/>
  <c r="AI61" i="2" s="1"/>
  <c r="AO61" i="2" s="1"/>
  <c r="AH165" i="2"/>
  <c r="AI165" i="2" s="1"/>
  <c r="AO165" i="2" s="1"/>
  <c r="AH57" i="2"/>
  <c r="AI57" i="2" s="1"/>
  <c r="AO57" i="2" s="1"/>
  <c r="AH174" i="2"/>
  <c r="AI174" i="2" s="1"/>
  <c r="AO174" i="2" s="1"/>
  <c r="AH130" i="2"/>
  <c r="AI130" i="2" s="1"/>
  <c r="AO130" i="2" s="1"/>
  <c r="AH153" i="2"/>
  <c r="AI153" i="2" s="1"/>
  <c r="AO153" i="2" s="1"/>
  <c r="AH70" i="2"/>
  <c r="AI70" i="2" s="1"/>
  <c r="AO70" i="2" s="1"/>
  <c r="AH43" i="2"/>
  <c r="AI43" i="2" s="1"/>
  <c r="AO43" i="2" s="1"/>
  <c r="AH145" i="2"/>
  <c r="AI145" i="2" s="1"/>
  <c r="AO145" i="2" s="1"/>
  <c r="AH110" i="2"/>
  <c r="AI110" i="2" s="1"/>
  <c r="AO110" i="2" s="1"/>
  <c r="AH322" i="2"/>
  <c r="AI322" i="2" s="1"/>
  <c r="AO322" i="2" s="1"/>
  <c r="AH93" i="2"/>
  <c r="AI93" i="2" s="1"/>
  <c r="AO93" i="2" s="1"/>
  <c r="AH50" i="2"/>
  <c r="AI50" i="2" s="1"/>
  <c r="AO50" i="2" s="1"/>
  <c r="AH30" i="2"/>
  <c r="AI30" i="2" s="1"/>
  <c r="AO30" i="2" s="1"/>
  <c r="AH157" i="2"/>
  <c r="AI157" i="2" s="1"/>
  <c r="AO157" i="2" s="1"/>
  <c r="AH41" i="2"/>
  <c r="AI41" i="2" s="1"/>
  <c r="AO41" i="2" s="1"/>
  <c r="AH151" i="2"/>
  <c r="AI151" i="2" s="1"/>
  <c r="AO151" i="2" s="1"/>
  <c r="AH321" i="2"/>
  <c r="AI321" i="2" s="1"/>
  <c r="AO321" i="2" s="1"/>
  <c r="AH78" i="2"/>
  <c r="AI78" i="2" s="1"/>
  <c r="AO78" i="2" s="1"/>
  <c r="AH10" i="2"/>
  <c r="AI10" i="2" s="1"/>
  <c r="AO10" i="2" s="1"/>
  <c r="AH162" i="2"/>
  <c r="AI162" i="2" s="1"/>
  <c r="AO162" i="2" s="1"/>
  <c r="AH44" i="2"/>
  <c r="AI44" i="2" s="1"/>
  <c r="AO44" i="2" s="1"/>
  <c r="AC306" i="2"/>
  <c r="N307" i="2"/>
  <c r="M46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Y9" i="3" s="1"/>
  <c r="U25" i="3"/>
  <c r="V25" i="3"/>
  <c r="U10" i="3"/>
  <c r="R25" i="3"/>
  <c r="Y21" i="3"/>
  <c r="Q22" i="3"/>
  <c r="R22" i="3"/>
  <c r="T22" i="3"/>
  <c r="S22" i="3"/>
  <c r="V22" i="3"/>
  <c r="U22" i="3"/>
  <c r="N46" i="2"/>
  <c r="AC46" i="2"/>
  <c r="BI2" i="2"/>
  <c r="AC239" i="2"/>
  <c r="I14" i="3"/>
  <c r="T14" i="3" s="1"/>
  <c r="Y23" i="3"/>
  <c r="Y7" i="3"/>
  <c r="X21" i="3"/>
  <c r="X28" i="3"/>
  <c r="X24" i="3"/>
  <c r="X7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M284" i="2"/>
  <c r="M238" i="2"/>
  <c r="M232" i="2"/>
  <c r="M275" i="2"/>
  <c r="N263" i="2"/>
  <c r="M242" i="2"/>
  <c r="M199" i="2"/>
  <c r="M196" i="2"/>
  <c r="M192" i="2"/>
  <c r="N233" i="2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M282" i="2"/>
  <c r="M249" i="2"/>
  <c r="M202" i="2"/>
  <c r="M306" i="2"/>
  <c r="AC273" i="2"/>
  <c r="M254" i="2"/>
  <c r="AC218" i="2"/>
  <c r="M195" i="2"/>
  <c r="N195" i="2"/>
  <c r="M204" i="2"/>
  <c r="N278" i="2"/>
  <c r="N306" i="2"/>
  <c r="M208" i="2"/>
  <c r="M273" i="2"/>
  <c r="M236" i="2"/>
  <c r="M255" i="2"/>
  <c r="M228" i="2"/>
  <c r="AC265" i="2"/>
  <c r="N230" i="2"/>
  <c r="N279" i="2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C221" i="2"/>
  <c r="M221" i="2"/>
  <c r="M212" i="2"/>
  <c r="M272" i="2"/>
  <c r="N193" i="2"/>
  <c r="AC245" i="2"/>
  <c r="M241" i="2"/>
  <c r="N241" i="2"/>
  <c r="M265" i="2"/>
  <c r="AC247" i="2"/>
  <c r="N247" i="2"/>
  <c r="AC288" i="2"/>
  <c r="AC281" i="2"/>
  <c r="AC211" i="2"/>
  <c r="AC193" i="2"/>
  <c r="N211" i="2"/>
  <c r="M245" i="2"/>
  <c r="M278" i="2"/>
  <c r="M281" i="2"/>
  <c r="M246" i="2"/>
  <c r="AC246" i="2"/>
  <c r="M213" i="2"/>
  <c r="N244" i="2"/>
  <c r="M266" i="2"/>
  <c r="M290" i="2"/>
  <c r="M294" i="2"/>
  <c r="M201" i="2"/>
  <c r="M270" i="2"/>
  <c r="AC257" i="2"/>
  <c r="AC201" i="2"/>
  <c r="N192" i="2"/>
  <c r="N266" i="2"/>
  <c r="N290" i="2"/>
  <c r="M267" i="2"/>
  <c r="AC276" i="2"/>
  <c r="AC200" i="2"/>
  <c r="N270" i="2"/>
  <c r="M216" i="2"/>
  <c r="N210" i="2"/>
  <c r="AC294" i="2"/>
  <c r="M257" i="2"/>
  <c r="AC225" i="2"/>
  <c r="M200" i="2"/>
  <c r="M244" i="2"/>
  <c r="M307" i="2"/>
  <c r="M65" i="2"/>
  <c r="M114" i="2"/>
  <c r="M186" i="2"/>
  <c r="M109" i="2"/>
  <c r="M117" i="2"/>
  <c r="M123" i="2"/>
  <c r="M146" i="2"/>
  <c r="M51" i="2"/>
  <c r="M72" i="2"/>
  <c r="M37" i="2"/>
  <c r="M155" i="2"/>
  <c r="M176" i="2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308" i="2"/>
  <c r="E309" i="2"/>
  <c r="AJ47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D7" i="4"/>
  <c r="D25" i="4"/>
  <c r="D6" i="4"/>
  <c r="E6" i="4" s="1"/>
  <c r="D5" i="4"/>
  <c r="E5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H47" i="2" l="1"/>
  <c r="AI47" i="2" s="1"/>
  <c r="AO47" i="2" s="1"/>
  <c r="AH46" i="2"/>
  <c r="AI46" i="2" s="1"/>
  <c r="AO46" i="2" s="1"/>
  <c r="F26" i="4"/>
  <c r="AH114" i="2"/>
  <c r="AI114" i="2" s="1"/>
  <c r="AH72" i="2"/>
  <c r="AI72" i="2" s="1"/>
  <c r="AO72" i="2" s="1"/>
  <c r="AH65" i="2"/>
  <c r="AI65" i="2" s="1"/>
  <c r="AH51" i="2"/>
  <c r="AI51" i="2" s="1"/>
  <c r="AH307" i="2"/>
  <c r="AI307" i="2" s="1"/>
  <c r="AO307" i="2" s="1"/>
  <c r="AH146" i="2"/>
  <c r="AI146" i="2" s="1"/>
  <c r="AH123" i="2"/>
  <c r="AI123" i="2" s="1"/>
  <c r="AI300" i="2"/>
  <c r="AO300" i="2" s="1"/>
  <c r="AH37" i="2"/>
  <c r="AI37" i="2" s="1"/>
  <c r="AH117" i="2"/>
  <c r="AI117" i="2" s="1"/>
  <c r="AO117" i="2" s="1"/>
  <c r="AH306" i="2"/>
  <c r="AI306" i="2" s="1"/>
  <c r="AO306" i="2" s="1"/>
  <c r="AH176" i="2"/>
  <c r="AI176" i="2" s="1"/>
  <c r="AO176" i="2" s="1"/>
  <c r="AH109" i="2"/>
  <c r="AI109" i="2" s="1"/>
  <c r="AO109" i="2" s="1"/>
  <c r="AH155" i="2"/>
  <c r="AI155" i="2" s="1"/>
  <c r="AH186" i="2"/>
  <c r="AI186" i="2" s="1"/>
  <c r="AH301" i="2"/>
  <c r="AI301" i="2" s="1"/>
  <c r="AO301" i="2" s="1"/>
  <c r="D29" i="4"/>
  <c r="M308" i="2"/>
  <c r="AQ323" i="2"/>
  <c r="AW323" i="2" s="1"/>
  <c r="AQ94" i="2"/>
  <c r="AW94" i="2" s="1"/>
  <c r="AQ178" i="2"/>
  <c r="AW178" i="2" s="1"/>
  <c r="AQ20" i="2"/>
  <c r="AW20" i="2" s="1"/>
  <c r="AQ124" i="2"/>
  <c r="AW124" i="2" s="1"/>
  <c r="AQ40" i="2"/>
  <c r="AW40" i="2" s="1"/>
  <c r="AQ187" i="2"/>
  <c r="AW187" i="2" s="1"/>
  <c r="AQ133" i="2"/>
  <c r="AW133" i="2" s="1"/>
  <c r="AQ106" i="2"/>
  <c r="AW106" i="2" s="1"/>
  <c r="AQ120" i="2"/>
  <c r="AW120" i="2" s="1"/>
  <c r="AQ24" i="2"/>
  <c r="AW24" i="2" s="1"/>
  <c r="AQ8" i="2"/>
  <c r="AW8" i="2" s="1"/>
  <c r="AQ140" i="2"/>
  <c r="AW140" i="2" s="1"/>
  <c r="AQ145" i="2"/>
  <c r="AW145" i="2" s="1"/>
  <c r="AQ30" i="2"/>
  <c r="AW30" i="2" s="1"/>
  <c r="AQ129" i="2"/>
  <c r="AW129" i="2" s="1"/>
  <c r="AQ31" i="2"/>
  <c r="AW31" i="2" s="1"/>
  <c r="AQ184" i="2"/>
  <c r="AW184" i="2" s="1"/>
  <c r="AQ116" i="2"/>
  <c r="AW116" i="2" s="1"/>
  <c r="AQ134" i="2"/>
  <c r="AW134" i="2" s="1"/>
  <c r="AQ13" i="2"/>
  <c r="AW13" i="2" s="1"/>
  <c r="AQ61" i="2"/>
  <c r="AW61" i="2" s="1"/>
  <c r="AQ59" i="2"/>
  <c r="AW59" i="2" s="1"/>
  <c r="AQ185" i="2"/>
  <c r="AW185" i="2" s="1"/>
  <c r="AQ182" i="2"/>
  <c r="AW182" i="2" s="1"/>
  <c r="AQ45" i="2"/>
  <c r="AW45" i="2" s="1"/>
  <c r="AQ160" i="2"/>
  <c r="AW160" i="2" s="1"/>
  <c r="AQ21" i="2"/>
  <c r="AW21" i="2" s="1"/>
  <c r="AQ183" i="2"/>
  <c r="AW183" i="2" s="1"/>
  <c r="AQ14" i="2"/>
  <c r="AW14" i="2" s="1"/>
  <c r="AQ156" i="2"/>
  <c r="AW156" i="2" s="1"/>
  <c r="AQ84" i="2"/>
  <c r="AW84" i="2" s="1"/>
  <c r="AQ137" i="2"/>
  <c r="AW137" i="2" s="1"/>
  <c r="AQ151" i="2"/>
  <c r="AW151" i="2" s="1"/>
  <c r="AQ141" i="2"/>
  <c r="AW141" i="2" s="1"/>
  <c r="AQ19" i="2"/>
  <c r="AW19" i="2" s="1"/>
  <c r="AQ149" i="2"/>
  <c r="AW149" i="2" s="1"/>
  <c r="AQ10" i="2"/>
  <c r="AW10" i="2" s="1"/>
  <c r="AQ87" i="2"/>
  <c r="AW87" i="2" s="1"/>
  <c r="AQ188" i="2"/>
  <c r="AW188" i="2" s="1"/>
  <c r="AQ73" i="2"/>
  <c r="AW73" i="2" s="1"/>
  <c r="AQ119" i="2"/>
  <c r="AW119" i="2" s="1"/>
  <c r="AQ180" i="2"/>
  <c r="AW180" i="2" s="1"/>
  <c r="AQ55" i="2"/>
  <c r="AW55" i="2" s="1"/>
  <c r="AQ66" i="2"/>
  <c r="AW66" i="2" s="1"/>
  <c r="AQ86" i="2"/>
  <c r="AW86" i="2" s="1"/>
  <c r="AQ107" i="2"/>
  <c r="AW107" i="2" s="1"/>
  <c r="AQ75" i="2"/>
  <c r="AW75" i="2" s="1"/>
  <c r="AQ181" i="2"/>
  <c r="AW181" i="2" s="1"/>
  <c r="AQ174" i="2"/>
  <c r="AW174" i="2" s="1"/>
  <c r="AQ128" i="2"/>
  <c r="AW128" i="2" s="1"/>
  <c r="AQ68" i="2"/>
  <c r="AW68" i="2" s="1"/>
  <c r="AQ104" i="2"/>
  <c r="AW104" i="2" s="1"/>
  <c r="AQ81" i="2"/>
  <c r="AW81" i="2" s="1"/>
  <c r="AQ111" i="2"/>
  <c r="AW111" i="2" s="1"/>
  <c r="AQ67" i="2"/>
  <c r="AW67" i="2" s="1"/>
  <c r="AQ85" i="2"/>
  <c r="AW85" i="2" s="1"/>
  <c r="AQ95" i="2"/>
  <c r="AW95" i="2" s="1"/>
  <c r="AQ158" i="2"/>
  <c r="AW158" i="2" s="1"/>
  <c r="AQ79" i="2"/>
  <c r="AW79" i="2" s="1"/>
  <c r="AQ48" i="2"/>
  <c r="AW48" i="2" s="1"/>
  <c r="AQ150" i="2"/>
  <c r="AW150" i="2" s="1"/>
  <c r="AQ302" i="2"/>
  <c r="AW302" i="2" s="1"/>
  <c r="AQ78" i="2"/>
  <c r="AW78" i="2" s="1"/>
  <c r="AQ32" i="2"/>
  <c r="AW32" i="2" s="1"/>
  <c r="AQ125" i="2"/>
  <c r="AW125" i="2" s="1"/>
  <c r="AQ326" i="2"/>
  <c r="AW326" i="2" s="1"/>
  <c r="AQ88" i="2"/>
  <c r="AW88" i="2" s="1"/>
  <c r="AQ172" i="2"/>
  <c r="AW172" i="2" s="1"/>
  <c r="AQ127" i="2"/>
  <c r="AW127" i="2" s="1"/>
  <c r="AQ44" i="2"/>
  <c r="AW44" i="2" s="1"/>
  <c r="AQ34" i="2"/>
  <c r="AW34" i="2" s="1"/>
  <c r="AQ148" i="2"/>
  <c r="AW148" i="2" s="1"/>
  <c r="AQ52" i="2"/>
  <c r="AW52" i="2" s="1"/>
  <c r="AQ131" i="2"/>
  <c r="AW131" i="2" s="1"/>
  <c r="AQ102" i="2"/>
  <c r="AW102" i="2" s="1"/>
  <c r="AQ325" i="2"/>
  <c r="AW325" i="2" s="1"/>
  <c r="AQ132" i="2"/>
  <c r="AW132" i="2" s="1"/>
  <c r="AQ41" i="2"/>
  <c r="AW41" i="2" s="1"/>
  <c r="AQ49" i="2"/>
  <c r="AW49" i="2" s="1"/>
  <c r="AQ15" i="2"/>
  <c r="AW15" i="2" s="1"/>
  <c r="AQ170" i="2"/>
  <c r="AW170" i="2" s="1"/>
  <c r="AQ50" i="2"/>
  <c r="AW50" i="2" s="1"/>
  <c r="AQ179" i="2"/>
  <c r="AW179" i="2" s="1"/>
  <c r="AQ165" i="2"/>
  <c r="AW165" i="2" s="1"/>
  <c r="AQ163" i="2"/>
  <c r="AW163" i="2" s="1"/>
  <c r="AQ118" i="2"/>
  <c r="AW118" i="2" s="1"/>
  <c r="AQ324" i="2"/>
  <c r="AW324" i="2" s="1"/>
  <c r="AQ101" i="2"/>
  <c r="AW101" i="2" s="1"/>
  <c r="AQ161" i="2"/>
  <c r="AW161" i="2" s="1"/>
  <c r="AQ113" i="2"/>
  <c r="AW113" i="2" s="1"/>
  <c r="AQ96" i="2"/>
  <c r="AW96" i="2" s="1"/>
  <c r="AQ83" i="2"/>
  <c r="AW83" i="2" s="1"/>
  <c r="AQ189" i="2"/>
  <c r="AW189" i="2" s="1"/>
  <c r="AQ27" i="2"/>
  <c r="AW27" i="2" s="1"/>
  <c r="AQ177" i="2"/>
  <c r="AW177" i="2" s="1"/>
  <c r="AQ25" i="2"/>
  <c r="AW25" i="2" s="1"/>
  <c r="AQ166" i="2"/>
  <c r="AW166" i="2" s="1"/>
  <c r="AQ173" i="2"/>
  <c r="AW173" i="2" s="1"/>
  <c r="AQ16" i="2"/>
  <c r="AW16" i="2" s="1"/>
  <c r="AQ39" i="2"/>
  <c r="AW39" i="2" s="1"/>
  <c r="AQ18" i="2"/>
  <c r="AW18" i="2" s="1"/>
  <c r="AQ105" i="2"/>
  <c r="AW105" i="2" s="1"/>
  <c r="AQ64" i="2"/>
  <c r="AW64" i="2" s="1"/>
  <c r="AQ159" i="2"/>
  <c r="AW159" i="2" s="1"/>
  <c r="AQ74" i="2"/>
  <c r="AW74" i="2" s="1"/>
  <c r="AQ53" i="2"/>
  <c r="AW53" i="2" s="1"/>
  <c r="AQ321" i="2"/>
  <c r="AW321" i="2" s="1"/>
  <c r="AQ121" i="2"/>
  <c r="AW121" i="2" s="1"/>
  <c r="AQ56" i="2"/>
  <c r="AW56" i="2" s="1"/>
  <c r="AQ103" i="2"/>
  <c r="AW103" i="2" s="1"/>
  <c r="AQ162" i="2"/>
  <c r="AW162" i="2" s="1"/>
  <c r="AQ35" i="2"/>
  <c r="AW35" i="2" s="1"/>
  <c r="AQ154" i="2"/>
  <c r="AW154" i="2" s="1"/>
  <c r="AQ110" i="2"/>
  <c r="AW110" i="2" s="1"/>
  <c r="AQ62" i="2"/>
  <c r="AW62" i="2" s="1"/>
  <c r="AQ80" i="2"/>
  <c r="AW80" i="2" s="1"/>
  <c r="AQ91" i="2"/>
  <c r="AW91" i="2" s="1"/>
  <c r="AQ57" i="2"/>
  <c r="AW57" i="2" s="1"/>
  <c r="AQ69" i="2"/>
  <c r="AW69" i="2" s="1"/>
  <c r="AQ169" i="2"/>
  <c r="AW169" i="2" s="1"/>
  <c r="AQ100" i="2"/>
  <c r="AW100" i="2" s="1"/>
  <c r="AQ115" i="2"/>
  <c r="AW115" i="2" s="1"/>
  <c r="AQ175" i="2"/>
  <c r="AW175" i="2" s="1"/>
  <c r="AQ58" i="2"/>
  <c r="AW58" i="2" s="1"/>
  <c r="AQ190" i="2"/>
  <c r="AW190" i="2" s="1"/>
  <c r="AQ12" i="2"/>
  <c r="AW12" i="2" s="1"/>
  <c r="AQ305" i="2"/>
  <c r="AW305" i="2" s="1"/>
  <c r="AQ17" i="2"/>
  <c r="AW17" i="2" s="1"/>
  <c r="AQ171" i="2"/>
  <c r="AW171" i="2" s="1"/>
  <c r="AQ153" i="2"/>
  <c r="AW153" i="2" s="1"/>
  <c r="AQ126" i="2"/>
  <c r="AW126" i="2" s="1"/>
  <c r="AQ122" i="2"/>
  <c r="AW122" i="2" s="1"/>
  <c r="AQ303" i="2"/>
  <c r="AW303" i="2" s="1"/>
  <c r="AQ22" i="2"/>
  <c r="AW22" i="2" s="1"/>
  <c r="AQ164" i="2"/>
  <c r="AW164" i="2" s="1"/>
  <c r="AQ304" i="2"/>
  <c r="AW304" i="2" s="1"/>
  <c r="AQ99" i="2"/>
  <c r="AW99" i="2" s="1"/>
  <c r="AQ144" i="2"/>
  <c r="AW144" i="2" s="1"/>
  <c r="AQ11" i="2"/>
  <c r="AW11" i="2" s="1"/>
  <c r="AQ142" i="2"/>
  <c r="AW142" i="2" s="1"/>
  <c r="AQ38" i="2"/>
  <c r="AW38" i="2" s="1"/>
  <c r="AQ77" i="2"/>
  <c r="AW77" i="2" s="1"/>
  <c r="AQ54" i="2"/>
  <c r="AW54" i="2" s="1"/>
  <c r="AQ139" i="2"/>
  <c r="AW139" i="2" s="1"/>
  <c r="AQ29" i="2"/>
  <c r="AW29" i="2" s="1"/>
  <c r="AQ70" i="2"/>
  <c r="AW70" i="2" s="1"/>
  <c r="AQ9" i="2"/>
  <c r="AW9" i="2" s="1"/>
  <c r="AQ98" i="2"/>
  <c r="AW98" i="2" s="1"/>
  <c r="AQ43" i="2"/>
  <c r="AW43" i="2" s="1"/>
  <c r="AQ108" i="2"/>
  <c r="AW108" i="2" s="1"/>
  <c r="AQ76" i="2"/>
  <c r="AW76" i="2" s="1"/>
  <c r="AQ157" i="2"/>
  <c r="AW157" i="2" s="1"/>
  <c r="AQ322" i="2"/>
  <c r="AW322" i="2" s="1"/>
  <c r="AQ135" i="2"/>
  <c r="AW135" i="2" s="1"/>
  <c r="AQ26" i="2"/>
  <c r="AW26" i="2" s="1"/>
  <c r="AQ130" i="2"/>
  <c r="AW130" i="2" s="1"/>
  <c r="AQ112" i="2"/>
  <c r="AW112" i="2" s="1"/>
  <c r="AQ28" i="2"/>
  <c r="AW28" i="2" s="1"/>
  <c r="AQ168" i="2"/>
  <c r="AW168" i="2" s="1"/>
  <c r="AQ23" i="2"/>
  <c r="AW23" i="2" s="1"/>
  <c r="AQ136" i="2"/>
  <c r="AW136" i="2" s="1"/>
  <c r="AQ42" i="2"/>
  <c r="AW42" i="2" s="1"/>
  <c r="AQ93" i="2"/>
  <c r="AW93" i="2" s="1"/>
  <c r="AQ167" i="2"/>
  <c r="AW167" i="2" s="1"/>
  <c r="AQ89" i="2"/>
  <c r="AW89" i="2" s="1"/>
  <c r="AQ97" i="2"/>
  <c r="AW97" i="2" s="1"/>
  <c r="AQ147" i="2"/>
  <c r="AW147" i="2" s="1"/>
  <c r="AQ60" i="2"/>
  <c r="AW60" i="2" s="1"/>
  <c r="AQ143" i="2"/>
  <c r="AW143" i="2" s="1"/>
  <c r="AQ152" i="2"/>
  <c r="AW152" i="2" s="1"/>
  <c r="AQ71" i="2"/>
  <c r="AW71" i="2" s="1"/>
  <c r="AQ92" i="2"/>
  <c r="AW92" i="2" s="1"/>
  <c r="AQ33" i="2"/>
  <c r="AW33" i="2" s="1"/>
  <c r="AQ82" i="2"/>
  <c r="AW82" i="2" s="1"/>
  <c r="AQ138" i="2"/>
  <c r="AW138" i="2" s="1"/>
  <c r="AQ63" i="2"/>
  <c r="AW63" i="2" s="1"/>
  <c r="AQ90" i="2"/>
  <c r="AW90" i="2" s="1"/>
  <c r="AQ36" i="2"/>
  <c r="AW36" i="2" s="1"/>
  <c r="BF178" i="2"/>
  <c r="BE178" i="2"/>
  <c r="BD178" i="2"/>
  <c r="BC178" i="2"/>
  <c r="BB178" i="2"/>
  <c r="BA178" i="2"/>
  <c r="AR20" i="2"/>
  <c r="BD20" i="2"/>
  <c r="BC20" i="2"/>
  <c r="BF20" i="2"/>
  <c r="BE20" i="2"/>
  <c r="BB20" i="2"/>
  <c r="BA20" i="2"/>
  <c r="AR124" i="2"/>
  <c r="BD124" i="2"/>
  <c r="BF124" i="2"/>
  <c r="BE124" i="2"/>
  <c r="BC124" i="2"/>
  <c r="BB124" i="2"/>
  <c r="BA124" i="2"/>
  <c r="AY40" i="2"/>
  <c r="BE40" i="2"/>
  <c r="BD40" i="2"/>
  <c r="BC40" i="2"/>
  <c r="BF40" i="2"/>
  <c r="BB40" i="2"/>
  <c r="BA40" i="2"/>
  <c r="AX187" i="2"/>
  <c r="BF187" i="2"/>
  <c r="BE187" i="2"/>
  <c r="BD187" i="2"/>
  <c r="BC187" i="2"/>
  <c r="BA187" i="2"/>
  <c r="BB187" i="2"/>
  <c r="AR133" i="2"/>
  <c r="BF133" i="2"/>
  <c r="BE133" i="2"/>
  <c r="BD133" i="2"/>
  <c r="BC133" i="2"/>
  <c r="BA133" i="2"/>
  <c r="BB133" i="2"/>
  <c r="BF106" i="2"/>
  <c r="BE106" i="2"/>
  <c r="BD106" i="2"/>
  <c r="BC106" i="2"/>
  <c r="BB106" i="2"/>
  <c r="BA106" i="2"/>
  <c r="AP120" i="2"/>
  <c r="AV120" i="2" s="1"/>
  <c r="BF120" i="2"/>
  <c r="BE120" i="2"/>
  <c r="BD120" i="2"/>
  <c r="BC120" i="2"/>
  <c r="BB120" i="2"/>
  <c r="BA120" i="2"/>
  <c r="AR24" i="2"/>
  <c r="BD24" i="2"/>
  <c r="BC24" i="2"/>
  <c r="BB24" i="2"/>
  <c r="BF24" i="2"/>
  <c r="BE24" i="2"/>
  <c r="BA24" i="2"/>
  <c r="AX8" i="2"/>
  <c r="BD8" i="2"/>
  <c r="BF8" i="2"/>
  <c r="BE8" i="2"/>
  <c r="BC8" i="2"/>
  <c r="BB8" i="2"/>
  <c r="BA8" i="2"/>
  <c r="BD140" i="2"/>
  <c r="BF140" i="2"/>
  <c r="BE140" i="2"/>
  <c r="BC140" i="2"/>
  <c r="BB140" i="2"/>
  <c r="BA140" i="2"/>
  <c r="AP145" i="2"/>
  <c r="AV145" i="2" s="1"/>
  <c r="BE145" i="2"/>
  <c r="BD145" i="2"/>
  <c r="BF145" i="2"/>
  <c r="BC145" i="2"/>
  <c r="BA145" i="2"/>
  <c r="BB145" i="2"/>
  <c r="AR30" i="2"/>
  <c r="BF30" i="2"/>
  <c r="BE30" i="2"/>
  <c r="BC30" i="2"/>
  <c r="BD30" i="2"/>
  <c r="BB30" i="2"/>
  <c r="BA30" i="2"/>
  <c r="AR129" i="2"/>
  <c r="BE129" i="2"/>
  <c r="BD129" i="2"/>
  <c r="BF129" i="2"/>
  <c r="BC129" i="2"/>
  <c r="BB129" i="2"/>
  <c r="BA129" i="2"/>
  <c r="AR31" i="2"/>
  <c r="BF31" i="2"/>
  <c r="BE31" i="2"/>
  <c r="BD31" i="2"/>
  <c r="BC31" i="2"/>
  <c r="BB31" i="2"/>
  <c r="BA31" i="2"/>
  <c r="AR184" i="2"/>
  <c r="BF184" i="2"/>
  <c r="BE184" i="2"/>
  <c r="BD184" i="2"/>
  <c r="BC184" i="2"/>
  <c r="BA184" i="2"/>
  <c r="BB184" i="2"/>
  <c r="AR116" i="2"/>
  <c r="BD116" i="2"/>
  <c r="BF116" i="2"/>
  <c r="BE116" i="2"/>
  <c r="BC116" i="2"/>
  <c r="BB116" i="2"/>
  <c r="BA116" i="2"/>
  <c r="BF134" i="2"/>
  <c r="BE134" i="2"/>
  <c r="BD134" i="2"/>
  <c r="BC134" i="2"/>
  <c r="BA134" i="2"/>
  <c r="BB134" i="2"/>
  <c r="AY13" i="2"/>
  <c r="BC13" i="2"/>
  <c r="BE13" i="2"/>
  <c r="BD13" i="2"/>
  <c r="BF13" i="2"/>
  <c r="BB13" i="2"/>
  <c r="BA13" i="2"/>
  <c r="BC61" i="2"/>
  <c r="BF61" i="2"/>
  <c r="BE61" i="2"/>
  <c r="BD61" i="2"/>
  <c r="BB61" i="2"/>
  <c r="BA61" i="2"/>
  <c r="AP59" i="2"/>
  <c r="AV59" i="2" s="1"/>
  <c r="BF59" i="2"/>
  <c r="BE59" i="2"/>
  <c r="BD59" i="2"/>
  <c r="BC59" i="2"/>
  <c r="BA59" i="2"/>
  <c r="BB59" i="2"/>
  <c r="Y10" i="3"/>
  <c r="BF22" i="2"/>
  <c r="BE22" i="2"/>
  <c r="BD22" i="2"/>
  <c r="BB22" i="2"/>
  <c r="BC22" i="2"/>
  <c r="BA22" i="2"/>
  <c r="BF323" i="2"/>
  <c r="BE323" i="2"/>
  <c r="BD323" i="2"/>
  <c r="BC323" i="2"/>
  <c r="BB323" i="2"/>
  <c r="BA323" i="2"/>
  <c r="AX94" i="2"/>
  <c r="BF94" i="2"/>
  <c r="BE94" i="2"/>
  <c r="BD94" i="2"/>
  <c r="BC94" i="2"/>
  <c r="BA94" i="2"/>
  <c r="BB94" i="2"/>
  <c r="BE185" i="2"/>
  <c r="BD185" i="2"/>
  <c r="BF185" i="2"/>
  <c r="BC185" i="2"/>
  <c r="BA185" i="2"/>
  <c r="BB185" i="2"/>
  <c r="BF182" i="2"/>
  <c r="BE182" i="2"/>
  <c r="BD182" i="2"/>
  <c r="BA182" i="2"/>
  <c r="BB182" i="2"/>
  <c r="BC182" i="2"/>
  <c r="AR45" i="2"/>
  <c r="BC45" i="2"/>
  <c r="BF45" i="2"/>
  <c r="BE45" i="2"/>
  <c r="BD45" i="2"/>
  <c r="BB45" i="2"/>
  <c r="BA45" i="2"/>
  <c r="AR160" i="2"/>
  <c r="BF160" i="2"/>
  <c r="BE160" i="2"/>
  <c r="BD160" i="2"/>
  <c r="BC160" i="2"/>
  <c r="BB160" i="2"/>
  <c r="BA160" i="2"/>
  <c r="AR21" i="2"/>
  <c r="BC21" i="2"/>
  <c r="BE21" i="2"/>
  <c r="BD21" i="2"/>
  <c r="BF21" i="2"/>
  <c r="BB21" i="2"/>
  <c r="BA21" i="2"/>
  <c r="AR183" i="2"/>
  <c r="BF183" i="2"/>
  <c r="BE183" i="2"/>
  <c r="BD183" i="2"/>
  <c r="BB183" i="2"/>
  <c r="BC183" i="2"/>
  <c r="BA183" i="2"/>
  <c r="AP14" i="2"/>
  <c r="AV14" i="2" s="1"/>
  <c r="BF14" i="2"/>
  <c r="BE14" i="2"/>
  <c r="BC14" i="2"/>
  <c r="BB14" i="2"/>
  <c r="BD14" i="2"/>
  <c r="BA14" i="2"/>
  <c r="AX156" i="2"/>
  <c r="BD156" i="2"/>
  <c r="BF156" i="2"/>
  <c r="BE156" i="2"/>
  <c r="BC156" i="2"/>
  <c r="BB156" i="2"/>
  <c r="BA156" i="2"/>
  <c r="AR84" i="2"/>
  <c r="BD84" i="2"/>
  <c r="BC84" i="2"/>
  <c r="BF84" i="2"/>
  <c r="BE84" i="2"/>
  <c r="BB84" i="2"/>
  <c r="BA84" i="2"/>
  <c r="AY137" i="2"/>
  <c r="BE137" i="2"/>
  <c r="BD137" i="2"/>
  <c r="BF137" i="2"/>
  <c r="BC137" i="2"/>
  <c r="BB137" i="2"/>
  <c r="BA137" i="2"/>
  <c r="AX151" i="2"/>
  <c r="BF151" i="2"/>
  <c r="BE151" i="2"/>
  <c r="BD151" i="2"/>
  <c r="BB151" i="2"/>
  <c r="BC151" i="2"/>
  <c r="BA151" i="2"/>
  <c r="AY141" i="2"/>
  <c r="BF141" i="2"/>
  <c r="BE141" i="2"/>
  <c r="BD141" i="2"/>
  <c r="BC141" i="2"/>
  <c r="BA141" i="2"/>
  <c r="BB141" i="2"/>
  <c r="AX19" i="2"/>
  <c r="BF19" i="2"/>
  <c r="BC19" i="2"/>
  <c r="BE19" i="2"/>
  <c r="BD19" i="2"/>
  <c r="BA19" i="2"/>
  <c r="BB19" i="2"/>
  <c r="AY149" i="2"/>
  <c r="BF149" i="2"/>
  <c r="BE149" i="2"/>
  <c r="BD149" i="2"/>
  <c r="BC149" i="2"/>
  <c r="BA149" i="2"/>
  <c r="BB149" i="2"/>
  <c r="AX10" i="2"/>
  <c r="BF10" i="2"/>
  <c r="BE10" i="2"/>
  <c r="BD10" i="2"/>
  <c r="BC10" i="2"/>
  <c r="BB10" i="2"/>
  <c r="BA10" i="2"/>
  <c r="AP87" i="2"/>
  <c r="AV87" i="2" s="1"/>
  <c r="BF87" i="2"/>
  <c r="BE87" i="2"/>
  <c r="BD87" i="2"/>
  <c r="BB87" i="2"/>
  <c r="BC87" i="2"/>
  <c r="BA87" i="2"/>
  <c r="AY188" i="2"/>
  <c r="BD188" i="2"/>
  <c r="BF188" i="2"/>
  <c r="BE188" i="2"/>
  <c r="BC188" i="2"/>
  <c r="BB188" i="2"/>
  <c r="BA188" i="2"/>
  <c r="AR73" i="2"/>
  <c r="BE73" i="2"/>
  <c r="BD73" i="2"/>
  <c r="BC73" i="2"/>
  <c r="BF73" i="2"/>
  <c r="BB73" i="2"/>
  <c r="BA73" i="2"/>
  <c r="AX119" i="2"/>
  <c r="BF119" i="2"/>
  <c r="BE119" i="2"/>
  <c r="BD119" i="2"/>
  <c r="BB119" i="2"/>
  <c r="BC119" i="2"/>
  <c r="BA119" i="2"/>
  <c r="AX180" i="2"/>
  <c r="BD180" i="2"/>
  <c r="BF180" i="2"/>
  <c r="BE180" i="2"/>
  <c r="BC180" i="2"/>
  <c r="BB180" i="2"/>
  <c r="BA180" i="2"/>
  <c r="AX55" i="2"/>
  <c r="BF55" i="2"/>
  <c r="BE55" i="2"/>
  <c r="BD55" i="2"/>
  <c r="BB55" i="2"/>
  <c r="BC55" i="2"/>
  <c r="BA55" i="2"/>
  <c r="BF66" i="2"/>
  <c r="BE66" i="2"/>
  <c r="BD66" i="2"/>
  <c r="BC66" i="2"/>
  <c r="BB66" i="2"/>
  <c r="BA66" i="2"/>
  <c r="AX86" i="2"/>
  <c r="BF86" i="2"/>
  <c r="BE86" i="2"/>
  <c r="BD86" i="2"/>
  <c r="BA86" i="2"/>
  <c r="BB86" i="2"/>
  <c r="BC86" i="2"/>
  <c r="AX107" i="2"/>
  <c r="BF107" i="2"/>
  <c r="BE107" i="2"/>
  <c r="BD107" i="2"/>
  <c r="BC107" i="2"/>
  <c r="BA107" i="2"/>
  <c r="BB107" i="2"/>
  <c r="BF75" i="2"/>
  <c r="BE75" i="2"/>
  <c r="BD75" i="2"/>
  <c r="BC75" i="2"/>
  <c r="BA75" i="2"/>
  <c r="BB75" i="2"/>
  <c r="BF181" i="2"/>
  <c r="BE181" i="2"/>
  <c r="BD181" i="2"/>
  <c r="BC181" i="2"/>
  <c r="BA181" i="2"/>
  <c r="BB181" i="2"/>
  <c r="AX174" i="2"/>
  <c r="BF174" i="2"/>
  <c r="BE174" i="2"/>
  <c r="BD174" i="2"/>
  <c r="BC174" i="2"/>
  <c r="BA174" i="2"/>
  <c r="BB174" i="2"/>
  <c r="AY128" i="2"/>
  <c r="BF128" i="2"/>
  <c r="BE128" i="2"/>
  <c r="BD128" i="2"/>
  <c r="BC128" i="2"/>
  <c r="BB128" i="2"/>
  <c r="BA128" i="2"/>
  <c r="AR68" i="2"/>
  <c r="BD68" i="2"/>
  <c r="BC68" i="2"/>
  <c r="BF68" i="2"/>
  <c r="BE68" i="2"/>
  <c r="BB68" i="2"/>
  <c r="BA68" i="2"/>
  <c r="AR104" i="2"/>
  <c r="BF104" i="2"/>
  <c r="BE104" i="2"/>
  <c r="BD104" i="2"/>
  <c r="BC104" i="2"/>
  <c r="BB104" i="2"/>
  <c r="BA104" i="2"/>
  <c r="AR81" i="2"/>
  <c r="BE81" i="2"/>
  <c r="BD81" i="2"/>
  <c r="BC81" i="2"/>
  <c r="BF81" i="2"/>
  <c r="BB81" i="2"/>
  <c r="BA81" i="2"/>
  <c r="BF111" i="2"/>
  <c r="BE111" i="2"/>
  <c r="BD111" i="2"/>
  <c r="BB111" i="2"/>
  <c r="BC111" i="2"/>
  <c r="BA111" i="2"/>
  <c r="AR67" i="2"/>
  <c r="BF67" i="2"/>
  <c r="BE67" i="2"/>
  <c r="BD67" i="2"/>
  <c r="BC67" i="2"/>
  <c r="BA67" i="2"/>
  <c r="BB67" i="2"/>
  <c r="AX85" i="2"/>
  <c r="BC85" i="2"/>
  <c r="BF85" i="2"/>
  <c r="BE85" i="2"/>
  <c r="BD85" i="2"/>
  <c r="BB85" i="2"/>
  <c r="BA85" i="2"/>
  <c r="AR95" i="2"/>
  <c r="BF95" i="2"/>
  <c r="BE95" i="2"/>
  <c r="BD95" i="2"/>
  <c r="BC95" i="2"/>
  <c r="BB95" i="2"/>
  <c r="BA95" i="2"/>
  <c r="AX158" i="2"/>
  <c r="BF158" i="2"/>
  <c r="BE158" i="2"/>
  <c r="BD158" i="2"/>
  <c r="BC158" i="2"/>
  <c r="BA158" i="2"/>
  <c r="BB158" i="2"/>
  <c r="BF79" i="2"/>
  <c r="BE79" i="2"/>
  <c r="BD79" i="2"/>
  <c r="BB79" i="2"/>
  <c r="BC79" i="2"/>
  <c r="BA79" i="2"/>
  <c r="AX48" i="2"/>
  <c r="BF48" i="2"/>
  <c r="BE48" i="2"/>
  <c r="BD48" i="2"/>
  <c r="BC48" i="2"/>
  <c r="BB48" i="2"/>
  <c r="BA48" i="2"/>
  <c r="AR150" i="2"/>
  <c r="BF150" i="2"/>
  <c r="BE150" i="2"/>
  <c r="BD150" i="2"/>
  <c r="BA150" i="2"/>
  <c r="BB150" i="2"/>
  <c r="BC150" i="2"/>
  <c r="AR302" i="2"/>
  <c r="BF302" i="2"/>
  <c r="BE302" i="2"/>
  <c r="BD302" i="2"/>
  <c r="BB302" i="2"/>
  <c r="BA302" i="2"/>
  <c r="BC302" i="2"/>
  <c r="AR78" i="2"/>
  <c r="BF78" i="2"/>
  <c r="BE78" i="2"/>
  <c r="BD78" i="2"/>
  <c r="BC78" i="2"/>
  <c r="BA78" i="2"/>
  <c r="BB78" i="2"/>
  <c r="AR32" i="2"/>
  <c r="BE32" i="2"/>
  <c r="BD32" i="2"/>
  <c r="BC32" i="2"/>
  <c r="BF32" i="2"/>
  <c r="BB32" i="2"/>
  <c r="BA32" i="2"/>
  <c r="BF125" i="2"/>
  <c r="BE125" i="2"/>
  <c r="BD125" i="2"/>
  <c r="BC125" i="2"/>
  <c r="BB125" i="2"/>
  <c r="BA125" i="2"/>
  <c r="AY326" i="2"/>
  <c r="BF326" i="2"/>
  <c r="BE326" i="2"/>
  <c r="BD326" i="2"/>
  <c r="BB326" i="2"/>
  <c r="BC326" i="2"/>
  <c r="BA326" i="2"/>
  <c r="AR88" i="2"/>
  <c r="BF88" i="2"/>
  <c r="BE88" i="2"/>
  <c r="BD88" i="2"/>
  <c r="BC88" i="2"/>
  <c r="BB88" i="2"/>
  <c r="BA88" i="2"/>
  <c r="BD172" i="2"/>
  <c r="BF172" i="2"/>
  <c r="BE172" i="2"/>
  <c r="BC172" i="2"/>
  <c r="BB172" i="2"/>
  <c r="BA172" i="2"/>
  <c r="AP127" i="2"/>
  <c r="AV127" i="2" s="1"/>
  <c r="BF127" i="2"/>
  <c r="BE127" i="2"/>
  <c r="BD127" i="2"/>
  <c r="BC127" i="2"/>
  <c r="BB127" i="2"/>
  <c r="BA127" i="2"/>
  <c r="AY44" i="2"/>
  <c r="BD44" i="2"/>
  <c r="BC44" i="2"/>
  <c r="BF44" i="2"/>
  <c r="BE44" i="2"/>
  <c r="BB44" i="2"/>
  <c r="BA44" i="2"/>
  <c r="AX34" i="2"/>
  <c r="BF34" i="2"/>
  <c r="BE34" i="2"/>
  <c r="BD34" i="2"/>
  <c r="BC34" i="2"/>
  <c r="BB34" i="2"/>
  <c r="BA34" i="2"/>
  <c r="AX148" i="2"/>
  <c r="BD148" i="2"/>
  <c r="BF148" i="2"/>
  <c r="BE148" i="2"/>
  <c r="BC148" i="2"/>
  <c r="BB148" i="2"/>
  <c r="BA148" i="2"/>
  <c r="AY52" i="2"/>
  <c r="BD52" i="2"/>
  <c r="BC52" i="2"/>
  <c r="BF52" i="2"/>
  <c r="BE52" i="2"/>
  <c r="BB52" i="2"/>
  <c r="BA52" i="2"/>
  <c r="BF131" i="2"/>
  <c r="BE131" i="2"/>
  <c r="BD131" i="2"/>
  <c r="BC131" i="2"/>
  <c r="BA131" i="2"/>
  <c r="BB131" i="2"/>
  <c r="AX102" i="2"/>
  <c r="BF102" i="2"/>
  <c r="BE102" i="2"/>
  <c r="BD102" i="2"/>
  <c r="BC102" i="2"/>
  <c r="BA102" i="2"/>
  <c r="BB102" i="2"/>
  <c r="AX325" i="2"/>
  <c r="BF325" i="2"/>
  <c r="BE325" i="2"/>
  <c r="BD325" i="2"/>
  <c r="BC325" i="2"/>
  <c r="BB325" i="2"/>
  <c r="BA325" i="2"/>
  <c r="AR132" i="2"/>
  <c r="BD132" i="2"/>
  <c r="BF132" i="2"/>
  <c r="BE132" i="2"/>
  <c r="BC132" i="2"/>
  <c r="BB132" i="2"/>
  <c r="BA132" i="2"/>
  <c r="BE41" i="2"/>
  <c r="BD41" i="2"/>
  <c r="BC41" i="2"/>
  <c r="BF41" i="2"/>
  <c r="BB41" i="2"/>
  <c r="BA41" i="2"/>
  <c r="AR49" i="2"/>
  <c r="BE49" i="2"/>
  <c r="BD49" i="2"/>
  <c r="BC49" i="2"/>
  <c r="BF49" i="2"/>
  <c r="BB49" i="2"/>
  <c r="BA49" i="2"/>
  <c r="AR15" i="2"/>
  <c r="BF15" i="2"/>
  <c r="BE15" i="2"/>
  <c r="BD15" i="2"/>
  <c r="BB15" i="2"/>
  <c r="BC15" i="2"/>
  <c r="BA15" i="2"/>
  <c r="AY170" i="2"/>
  <c r="BF170" i="2"/>
  <c r="BE170" i="2"/>
  <c r="BD170" i="2"/>
  <c r="BC170" i="2"/>
  <c r="BB170" i="2"/>
  <c r="BA170" i="2"/>
  <c r="AY50" i="2"/>
  <c r="BF50" i="2"/>
  <c r="BE50" i="2"/>
  <c r="BD50" i="2"/>
  <c r="BC50" i="2"/>
  <c r="BB50" i="2"/>
  <c r="BA50" i="2"/>
  <c r="AY179" i="2"/>
  <c r="BF179" i="2"/>
  <c r="BE179" i="2"/>
  <c r="BD179" i="2"/>
  <c r="BC179" i="2"/>
  <c r="BA179" i="2"/>
  <c r="BB179" i="2"/>
  <c r="BF165" i="2"/>
  <c r="BE165" i="2"/>
  <c r="BD165" i="2"/>
  <c r="BC165" i="2"/>
  <c r="BA165" i="2"/>
  <c r="BB165" i="2"/>
  <c r="AR163" i="2"/>
  <c r="BF163" i="2"/>
  <c r="BE163" i="2"/>
  <c r="BD163" i="2"/>
  <c r="BC163" i="2"/>
  <c r="BA163" i="2"/>
  <c r="BB163" i="2"/>
  <c r="AR118" i="2"/>
  <c r="BF118" i="2"/>
  <c r="BE118" i="2"/>
  <c r="BD118" i="2"/>
  <c r="BA118" i="2"/>
  <c r="BB118" i="2"/>
  <c r="BC118" i="2"/>
  <c r="AP324" i="2"/>
  <c r="AV324" i="2" s="1"/>
  <c r="BD324" i="2"/>
  <c r="BF324" i="2"/>
  <c r="BE324" i="2"/>
  <c r="BC324" i="2"/>
  <c r="BB324" i="2"/>
  <c r="BA324" i="2"/>
  <c r="BF101" i="2"/>
  <c r="BE101" i="2"/>
  <c r="BD101" i="2"/>
  <c r="BC101" i="2"/>
  <c r="BA101" i="2"/>
  <c r="BB101" i="2"/>
  <c r="AX161" i="2"/>
  <c r="BE161" i="2"/>
  <c r="BD161" i="2"/>
  <c r="BF161" i="2"/>
  <c r="BC161" i="2"/>
  <c r="BA161" i="2"/>
  <c r="BB161" i="2"/>
  <c r="BE113" i="2"/>
  <c r="BD113" i="2"/>
  <c r="BF113" i="2"/>
  <c r="BC113" i="2"/>
  <c r="BB113" i="2"/>
  <c r="BA113" i="2"/>
  <c r="AX96" i="2"/>
  <c r="BF96" i="2"/>
  <c r="BE96" i="2"/>
  <c r="BD96" i="2"/>
  <c r="BC96" i="2"/>
  <c r="BB96" i="2"/>
  <c r="BA96" i="2"/>
  <c r="AP83" i="2"/>
  <c r="AV83" i="2" s="1"/>
  <c r="BF83" i="2"/>
  <c r="BE83" i="2"/>
  <c r="BD83" i="2"/>
  <c r="BC83" i="2"/>
  <c r="BA83" i="2"/>
  <c r="BB83" i="2"/>
  <c r="BF189" i="2"/>
  <c r="BE189" i="2"/>
  <c r="BD189" i="2"/>
  <c r="BC189" i="2"/>
  <c r="BA189" i="2"/>
  <c r="BB189" i="2"/>
  <c r="AY27" i="2"/>
  <c r="BF27" i="2"/>
  <c r="BD27" i="2"/>
  <c r="BC27" i="2"/>
  <c r="BE27" i="2"/>
  <c r="BA27" i="2"/>
  <c r="BB27" i="2"/>
  <c r="AR177" i="2"/>
  <c r="BE177" i="2"/>
  <c r="BD177" i="2"/>
  <c r="BF177" i="2"/>
  <c r="BC177" i="2"/>
  <c r="BA177" i="2"/>
  <c r="BB177" i="2"/>
  <c r="AY25" i="2"/>
  <c r="BE25" i="2"/>
  <c r="BD25" i="2"/>
  <c r="BC25" i="2"/>
  <c r="BF25" i="2"/>
  <c r="BB25" i="2"/>
  <c r="BA25" i="2"/>
  <c r="BF166" i="2"/>
  <c r="BE166" i="2"/>
  <c r="BD166" i="2"/>
  <c r="BC166" i="2"/>
  <c r="BA166" i="2"/>
  <c r="BB166" i="2"/>
  <c r="AR173" i="2"/>
  <c r="BF173" i="2"/>
  <c r="BE173" i="2"/>
  <c r="BD173" i="2"/>
  <c r="BC173" i="2"/>
  <c r="BA173" i="2"/>
  <c r="BB173" i="2"/>
  <c r="AX16" i="2"/>
  <c r="BD16" i="2"/>
  <c r="BC16" i="2"/>
  <c r="BB16" i="2"/>
  <c r="BF16" i="2"/>
  <c r="BE16" i="2"/>
  <c r="BA16" i="2"/>
  <c r="AY39" i="2"/>
  <c r="BF39" i="2"/>
  <c r="BE39" i="2"/>
  <c r="BD39" i="2"/>
  <c r="BC39" i="2"/>
  <c r="BB39" i="2"/>
  <c r="BA39" i="2"/>
  <c r="AP18" i="2"/>
  <c r="AV18" i="2" s="1"/>
  <c r="BF18" i="2"/>
  <c r="BE18" i="2"/>
  <c r="BD18" i="2"/>
  <c r="BC18" i="2"/>
  <c r="BB18" i="2"/>
  <c r="BA18" i="2"/>
  <c r="AR105" i="2"/>
  <c r="BE105" i="2"/>
  <c r="BD105" i="2"/>
  <c r="BF105" i="2"/>
  <c r="BC105" i="2"/>
  <c r="BB105" i="2"/>
  <c r="BA105" i="2"/>
  <c r="AY64" i="2"/>
  <c r="BF64" i="2"/>
  <c r="BE64" i="2"/>
  <c r="BD64" i="2"/>
  <c r="BC64" i="2"/>
  <c r="BB64" i="2"/>
  <c r="BA64" i="2"/>
  <c r="BF159" i="2"/>
  <c r="BE159" i="2"/>
  <c r="BD159" i="2"/>
  <c r="BC159" i="2"/>
  <c r="BB159" i="2"/>
  <c r="BA159" i="2"/>
  <c r="AY74" i="2"/>
  <c r="BF74" i="2"/>
  <c r="BE74" i="2"/>
  <c r="BD74" i="2"/>
  <c r="BC74" i="2"/>
  <c r="BB74" i="2"/>
  <c r="BA74" i="2"/>
  <c r="BC53" i="2"/>
  <c r="BF53" i="2"/>
  <c r="BE53" i="2"/>
  <c r="BD53" i="2"/>
  <c r="BB53" i="2"/>
  <c r="BA53" i="2"/>
  <c r="AY321" i="2"/>
  <c r="BE321" i="2"/>
  <c r="BD321" i="2"/>
  <c r="BF321" i="2"/>
  <c r="BB321" i="2"/>
  <c r="BC321" i="2"/>
  <c r="BA321" i="2"/>
  <c r="AX121" i="2"/>
  <c r="BE121" i="2"/>
  <c r="BD121" i="2"/>
  <c r="BF121" i="2"/>
  <c r="BC121" i="2"/>
  <c r="BB121" i="2"/>
  <c r="BA121" i="2"/>
  <c r="AX56" i="2"/>
  <c r="BF56" i="2"/>
  <c r="BE56" i="2"/>
  <c r="BD56" i="2"/>
  <c r="BC56" i="2"/>
  <c r="BB56" i="2"/>
  <c r="BA56" i="2"/>
  <c r="AR103" i="2"/>
  <c r="BF103" i="2"/>
  <c r="BE103" i="2"/>
  <c r="BD103" i="2"/>
  <c r="BC103" i="2"/>
  <c r="BB103" i="2"/>
  <c r="BA103" i="2"/>
  <c r="BF162" i="2"/>
  <c r="BE162" i="2"/>
  <c r="BD162" i="2"/>
  <c r="BC162" i="2"/>
  <c r="BB162" i="2"/>
  <c r="BA162" i="2"/>
  <c r="BF35" i="2"/>
  <c r="BD35" i="2"/>
  <c r="BC35" i="2"/>
  <c r="BE35" i="2"/>
  <c r="BB35" i="2"/>
  <c r="BA35" i="2"/>
  <c r="AX154" i="2"/>
  <c r="BF154" i="2"/>
  <c r="BE154" i="2"/>
  <c r="BD154" i="2"/>
  <c r="BC154" i="2"/>
  <c r="BB154" i="2"/>
  <c r="BA154" i="2"/>
  <c r="AY110" i="2"/>
  <c r="BF110" i="2"/>
  <c r="BE110" i="2"/>
  <c r="BD110" i="2"/>
  <c r="BC110" i="2"/>
  <c r="BA110" i="2"/>
  <c r="BB110" i="2"/>
  <c r="AX62" i="2"/>
  <c r="BF62" i="2"/>
  <c r="BE62" i="2"/>
  <c r="BD62" i="2"/>
  <c r="BC62" i="2"/>
  <c r="BA62" i="2"/>
  <c r="BB62" i="2"/>
  <c r="AP80" i="2"/>
  <c r="AV80" i="2" s="1"/>
  <c r="BF80" i="2"/>
  <c r="BE80" i="2"/>
  <c r="BD80" i="2"/>
  <c r="BC80" i="2"/>
  <c r="BB80" i="2"/>
  <c r="BA80" i="2"/>
  <c r="BF91" i="2"/>
  <c r="BE91" i="2"/>
  <c r="BD91" i="2"/>
  <c r="BC91" i="2"/>
  <c r="BA91" i="2"/>
  <c r="BB91" i="2"/>
  <c r="BE57" i="2"/>
  <c r="BD57" i="2"/>
  <c r="BC57" i="2"/>
  <c r="BF57" i="2"/>
  <c r="BB57" i="2"/>
  <c r="BA57" i="2"/>
  <c r="BC69" i="2"/>
  <c r="BF69" i="2"/>
  <c r="BE69" i="2"/>
  <c r="BD69" i="2"/>
  <c r="BA69" i="2"/>
  <c r="BB69" i="2"/>
  <c r="AP169" i="2"/>
  <c r="AV169" i="2" s="1"/>
  <c r="BE169" i="2"/>
  <c r="BD169" i="2"/>
  <c r="BF169" i="2"/>
  <c r="BC169" i="2"/>
  <c r="BA169" i="2"/>
  <c r="BB169" i="2"/>
  <c r="AP100" i="2"/>
  <c r="AV100" i="2" s="1"/>
  <c r="BF100" i="2"/>
  <c r="BE100" i="2"/>
  <c r="BD100" i="2"/>
  <c r="BC100" i="2"/>
  <c r="BB100" i="2"/>
  <c r="BA100" i="2"/>
  <c r="AX115" i="2"/>
  <c r="BF115" i="2"/>
  <c r="BE115" i="2"/>
  <c r="BD115" i="2"/>
  <c r="BC115" i="2"/>
  <c r="BA115" i="2"/>
  <c r="BB115" i="2"/>
  <c r="AR175" i="2"/>
  <c r="BF175" i="2"/>
  <c r="BE175" i="2"/>
  <c r="BD175" i="2"/>
  <c r="BB175" i="2"/>
  <c r="BC175" i="2"/>
  <c r="BA175" i="2"/>
  <c r="BF58" i="2"/>
  <c r="BE58" i="2"/>
  <c r="BD58" i="2"/>
  <c r="BC58" i="2"/>
  <c r="BB58" i="2"/>
  <c r="BA58" i="2"/>
  <c r="AX190" i="2"/>
  <c r="BF190" i="2"/>
  <c r="BE190" i="2"/>
  <c r="BD190" i="2"/>
  <c r="BC190" i="2"/>
  <c r="BA190" i="2"/>
  <c r="BB190" i="2"/>
  <c r="AR12" i="2"/>
  <c r="BD12" i="2"/>
  <c r="BC12" i="2"/>
  <c r="BF12" i="2"/>
  <c r="BE12" i="2"/>
  <c r="BB12" i="2"/>
  <c r="BA12" i="2"/>
  <c r="AX305" i="2"/>
  <c r="BE305" i="2"/>
  <c r="BD305" i="2"/>
  <c r="BF305" i="2"/>
  <c r="BB305" i="2"/>
  <c r="BC305" i="2"/>
  <c r="BA305" i="2"/>
  <c r="BE17" i="2"/>
  <c r="BD17" i="2"/>
  <c r="BC17" i="2"/>
  <c r="BF17" i="2"/>
  <c r="BB17" i="2"/>
  <c r="BA17" i="2"/>
  <c r="BF171" i="2"/>
  <c r="BE171" i="2"/>
  <c r="BD171" i="2"/>
  <c r="BC171" i="2"/>
  <c r="BA171" i="2"/>
  <c r="BB171" i="2"/>
  <c r="AX153" i="2"/>
  <c r="BE153" i="2"/>
  <c r="BD153" i="2"/>
  <c r="BF153" i="2"/>
  <c r="BC153" i="2"/>
  <c r="BA153" i="2"/>
  <c r="BB153" i="2"/>
  <c r="AY126" i="2"/>
  <c r="BF126" i="2"/>
  <c r="BE126" i="2"/>
  <c r="BD126" i="2"/>
  <c r="BC126" i="2"/>
  <c r="BA126" i="2"/>
  <c r="BB126" i="2"/>
  <c r="AR122" i="2"/>
  <c r="BF122" i="2"/>
  <c r="BE122" i="2"/>
  <c r="BD122" i="2"/>
  <c r="BC122" i="2"/>
  <c r="BB122" i="2"/>
  <c r="BA122" i="2"/>
  <c r="BF303" i="2"/>
  <c r="BE303" i="2"/>
  <c r="BD303" i="2"/>
  <c r="BA303" i="2"/>
  <c r="BC303" i="2"/>
  <c r="BB303" i="2"/>
  <c r="BD164" i="2"/>
  <c r="BF164" i="2"/>
  <c r="BE164" i="2"/>
  <c r="BC164" i="2"/>
  <c r="BB164" i="2"/>
  <c r="BA164" i="2"/>
  <c r="BF304" i="2"/>
  <c r="BE304" i="2"/>
  <c r="BD304" i="2"/>
  <c r="BC304" i="2"/>
  <c r="BA304" i="2"/>
  <c r="BB304" i="2"/>
  <c r="AX99" i="2"/>
  <c r="BF99" i="2"/>
  <c r="BE99" i="2"/>
  <c r="BD99" i="2"/>
  <c r="BC99" i="2"/>
  <c r="BA99" i="2"/>
  <c r="BB99" i="2"/>
  <c r="BF144" i="2"/>
  <c r="BE144" i="2"/>
  <c r="BD144" i="2"/>
  <c r="BC144" i="2"/>
  <c r="BB144" i="2"/>
  <c r="BA144" i="2"/>
  <c r="AR11" i="2"/>
  <c r="BF11" i="2"/>
  <c r="BC11" i="2"/>
  <c r="BE11" i="2"/>
  <c r="BD11" i="2"/>
  <c r="BB11" i="2"/>
  <c r="BA11" i="2"/>
  <c r="BF142" i="2"/>
  <c r="BE142" i="2"/>
  <c r="BD142" i="2"/>
  <c r="BC142" i="2"/>
  <c r="BA142" i="2"/>
  <c r="BB142" i="2"/>
  <c r="AR38" i="2"/>
  <c r="BF38" i="2"/>
  <c r="BE38" i="2"/>
  <c r="BD38" i="2"/>
  <c r="BC38" i="2"/>
  <c r="BB38" i="2"/>
  <c r="BA38" i="2"/>
  <c r="AY77" i="2"/>
  <c r="BC77" i="2"/>
  <c r="BF77" i="2"/>
  <c r="BE77" i="2"/>
  <c r="BD77" i="2"/>
  <c r="BB77" i="2"/>
  <c r="BA77" i="2"/>
  <c r="AR54" i="2"/>
  <c r="BF54" i="2"/>
  <c r="BE54" i="2"/>
  <c r="BD54" i="2"/>
  <c r="BA54" i="2"/>
  <c r="BB54" i="2"/>
  <c r="BC54" i="2"/>
  <c r="AR139" i="2"/>
  <c r="BF139" i="2"/>
  <c r="BE139" i="2"/>
  <c r="BD139" i="2"/>
  <c r="BC139" i="2"/>
  <c r="BA139" i="2"/>
  <c r="BB139" i="2"/>
  <c r="AY29" i="2"/>
  <c r="BC29" i="2"/>
  <c r="BF29" i="2"/>
  <c r="BE29" i="2"/>
  <c r="BD29" i="2"/>
  <c r="BB29" i="2"/>
  <c r="BA29" i="2"/>
  <c r="BF70" i="2"/>
  <c r="BE70" i="2"/>
  <c r="BD70" i="2"/>
  <c r="BC70" i="2"/>
  <c r="BA70" i="2"/>
  <c r="BB70" i="2"/>
  <c r="AR9" i="2"/>
  <c r="BE9" i="2"/>
  <c r="BD9" i="2"/>
  <c r="BC9" i="2"/>
  <c r="BF9" i="2"/>
  <c r="BB9" i="2"/>
  <c r="BA9" i="2"/>
  <c r="AY98" i="2"/>
  <c r="BF98" i="2"/>
  <c r="BE98" i="2"/>
  <c r="BD98" i="2"/>
  <c r="BC98" i="2"/>
  <c r="BB98" i="2"/>
  <c r="BA98" i="2"/>
  <c r="AY43" i="2"/>
  <c r="BF43" i="2"/>
  <c r="BE43" i="2"/>
  <c r="BD43" i="2"/>
  <c r="BC43" i="2"/>
  <c r="BA43" i="2"/>
  <c r="BB43" i="2"/>
  <c r="AY108" i="2"/>
  <c r="BD108" i="2"/>
  <c r="BF108" i="2"/>
  <c r="BE108" i="2"/>
  <c r="BC108" i="2"/>
  <c r="BB108" i="2"/>
  <c r="BA108" i="2"/>
  <c r="BD76" i="2"/>
  <c r="BC76" i="2"/>
  <c r="BF76" i="2"/>
  <c r="BE76" i="2"/>
  <c r="BB76" i="2"/>
  <c r="BA76" i="2"/>
  <c r="AP157" i="2"/>
  <c r="AV157" i="2" s="1"/>
  <c r="BF157" i="2"/>
  <c r="BE157" i="2"/>
  <c r="BD157" i="2"/>
  <c r="BC157" i="2"/>
  <c r="BA157" i="2"/>
  <c r="BB157" i="2"/>
  <c r="AY322" i="2"/>
  <c r="BF322" i="2"/>
  <c r="BE322" i="2"/>
  <c r="BD322" i="2"/>
  <c r="BB322" i="2"/>
  <c r="BC322" i="2"/>
  <c r="BA322" i="2"/>
  <c r="AY135" i="2"/>
  <c r="BF135" i="2"/>
  <c r="BE135" i="2"/>
  <c r="BD135" i="2"/>
  <c r="BC135" i="2"/>
  <c r="BB135" i="2"/>
  <c r="BA135" i="2"/>
  <c r="BF26" i="2"/>
  <c r="BE26" i="2"/>
  <c r="BD26" i="2"/>
  <c r="BC26" i="2"/>
  <c r="BB26" i="2"/>
  <c r="BA26" i="2"/>
  <c r="BF130" i="2"/>
  <c r="BE130" i="2"/>
  <c r="BD130" i="2"/>
  <c r="BC130" i="2"/>
  <c r="BB130" i="2"/>
  <c r="BA130" i="2"/>
  <c r="AR112" i="2"/>
  <c r="BF112" i="2"/>
  <c r="BE112" i="2"/>
  <c r="BD112" i="2"/>
  <c r="BC112" i="2"/>
  <c r="BB112" i="2"/>
  <c r="BA112" i="2"/>
  <c r="AY28" i="2"/>
  <c r="BD28" i="2"/>
  <c r="BC28" i="2"/>
  <c r="BF28" i="2"/>
  <c r="BE28" i="2"/>
  <c r="BB28" i="2"/>
  <c r="BA28" i="2"/>
  <c r="BF168" i="2"/>
  <c r="BE168" i="2"/>
  <c r="BD168" i="2"/>
  <c r="BC168" i="2"/>
  <c r="BA168" i="2"/>
  <c r="BB168" i="2"/>
  <c r="AY23" i="2"/>
  <c r="BF23" i="2"/>
  <c r="BE23" i="2"/>
  <c r="BD23" i="2"/>
  <c r="BB23" i="2"/>
  <c r="BC23" i="2"/>
  <c r="BA23" i="2"/>
  <c r="BF136" i="2"/>
  <c r="BE136" i="2"/>
  <c r="BD136" i="2"/>
  <c r="BC136" i="2"/>
  <c r="BB136" i="2"/>
  <c r="BA136" i="2"/>
  <c r="AR42" i="2"/>
  <c r="BF42" i="2"/>
  <c r="BE42" i="2"/>
  <c r="BD42" i="2"/>
  <c r="BC42" i="2"/>
  <c r="BB42" i="2"/>
  <c r="BA42" i="2"/>
  <c r="AX93" i="2"/>
  <c r="BC93" i="2"/>
  <c r="BF93" i="2"/>
  <c r="BE93" i="2"/>
  <c r="BD93" i="2"/>
  <c r="BB93" i="2"/>
  <c r="BA93" i="2"/>
  <c r="AP167" i="2"/>
  <c r="AV167" i="2" s="1"/>
  <c r="BF167" i="2"/>
  <c r="BE167" i="2"/>
  <c r="BD167" i="2"/>
  <c r="BC167" i="2"/>
  <c r="BB167" i="2"/>
  <c r="BA167" i="2"/>
  <c r="AR89" i="2"/>
  <c r="BE89" i="2"/>
  <c r="BD89" i="2"/>
  <c r="BC89" i="2"/>
  <c r="BF89" i="2"/>
  <c r="BB89" i="2"/>
  <c r="BA89" i="2"/>
  <c r="AP97" i="2"/>
  <c r="AV97" i="2" s="1"/>
  <c r="BE97" i="2"/>
  <c r="BD97" i="2"/>
  <c r="BC97" i="2"/>
  <c r="BF97" i="2"/>
  <c r="BB97" i="2"/>
  <c r="BA97" i="2"/>
  <c r="AR147" i="2"/>
  <c r="BF147" i="2"/>
  <c r="BE147" i="2"/>
  <c r="BD147" i="2"/>
  <c r="BC147" i="2"/>
  <c r="BA147" i="2"/>
  <c r="BB147" i="2"/>
  <c r="BD60" i="2"/>
  <c r="BC60" i="2"/>
  <c r="BF60" i="2"/>
  <c r="BE60" i="2"/>
  <c r="BB60" i="2"/>
  <c r="BA60" i="2"/>
  <c r="BF143" i="2"/>
  <c r="BE143" i="2"/>
  <c r="BD143" i="2"/>
  <c r="BB143" i="2"/>
  <c r="BC143" i="2"/>
  <c r="BA143" i="2"/>
  <c r="AY152" i="2"/>
  <c r="BF152" i="2"/>
  <c r="BE152" i="2"/>
  <c r="BD152" i="2"/>
  <c r="BC152" i="2"/>
  <c r="BB152" i="2"/>
  <c r="BA152" i="2"/>
  <c r="AX71" i="2"/>
  <c r="BF71" i="2"/>
  <c r="BE71" i="2"/>
  <c r="BD71" i="2"/>
  <c r="BC71" i="2"/>
  <c r="BB71" i="2"/>
  <c r="BA71" i="2"/>
  <c r="AP92" i="2"/>
  <c r="AV92" i="2" s="1"/>
  <c r="BD92" i="2"/>
  <c r="BC92" i="2"/>
  <c r="BF92" i="2"/>
  <c r="BE92" i="2"/>
  <c r="BB92" i="2"/>
  <c r="BA92" i="2"/>
  <c r="AP33" i="2"/>
  <c r="AV33" i="2" s="1"/>
  <c r="BE33" i="2"/>
  <c r="BD33" i="2"/>
  <c r="BC33" i="2"/>
  <c r="BF33" i="2"/>
  <c r="BB33" i="2"/>
  <c r="BA33" i="2"/>
  <c r="BF82" i="2"/>
  <c r="BE82" i="2"/>
  <c r="BD82" i="2"/>
  <c r="BC82" i="2"/>
  <c r="BB82" i="2"/>
  <c r="BA82" i="2"/>
  <c r="AX138" i="2"/>
  <c r="BF138" i="2"/>
  <c r="BE138" i="2"/>
  <c r="BD138" i="2"/>
  <c r="BC138" i="2"/>
  <c r="BB138" i="2"/>
  <c r="BA138" i="2"/>
  <c r="AX63" i="2"/>
  <c r="BF63" i="2"/>
  <c r="BE63" i="2"/>
  <c r="BD63" i="2"/>
  <c r="BC63" i="2"/>
  <c r="BB63" i="2"/>
  <c r="BA63" i="2"/>
  <c r="AR90" i="2"/>
  <c r="BF90" i="2"/>
  <c r="BE90" i="2"/>
  <c r="BD90" i="2"/>
  <c r="BC90" i="2"/>
  <c r="BB90" i="2"/>
  <c r="BA90" i="2"/>
  <c r="BD36" i="2"/>
  <c r="BC36" i="2"/>
  <c r="BF36" i="2"/>
  <c r="BE36" i="2"/>
  <c r="BB36" i="2"/>
  <c r="BA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Y16" i="3"/>
  <c r="X12" i="3"/>
  <c r="Y8" i="3"/>
  <c r="Y12" i="3"/>
  <c r="X11" i="3"/>
  <c r="X8" i="3"/>
  <c r="X13" i="3"/>
  <c r="Y11" i="3"/>
  <c r="X16" i="3"/>
  <c r="I17" i="3"/>
  <c r="S17" i="3" s="1"/>
  <c r="I20" i="3"/>
  <c r="R20" i="3" s="1"/>
  <c r="AX61" i="2"/>
  <c r="AY87" i="2"/>
  <c r="AR79" i="2"/>
  <c r="AY41" i="2"/>
  <c r="AR166" i="2"/>
  <c r="AX49" i="2"/>
  <c r="AX118" i="2"/>
  <c r="AR165" i="2"/>
  <c r="AR60" i="2"/>
  <c r="AY63" i="2"/>
  <c r="AR61" i="2"/>
  <c r="AX184" i="2"/>
  <c r="AY184" i="2"/>
  <c r="AY59" i="2"/>
  <c r="AX140" i="2"/>
  <c r="AP158" i="2"/>
  <c r="AV158" i="2" s="1"/>
  <c r="AX163" i="2"/>
  <c r="AR41" i="2"/>
  <c r="AX188" i="2"/>
  <c r="AP119" i="2"/>
  <c r="AV119" i="2" s="1"/>
  <c r="AX32" i="2"/>
  <c r="AX302" i="2"/>
  <c r="AR125" i="2"/>
  <c r="AP48" i="2"/>
  <c r="AV48" i="2" s="1"/>
  <c r="AX104" i="2"/>
  <c r="AP55" i="2"/>
  <c r="AV55" i="2" s="1"/>
  <c r="AP102" i="2"/>
  <c r="AV102" i="2" s="1"/>
  <c r="AR66" i="2"/>
  <c r="AX135" i="2"/>
  <c r="AX31" i="2"/>
  <c r="AP31" i="2"/>
  <c r="AV31" i="2" s="1"/>
  <c r="AR77" i="2"/>
  <c r="AP64" i="2"/>
  <c r="AV64" i="2" s="1"/>
  <c r="AX103" i="2"/>
  <c r="AP173" i="2"/>
  <c r="AV173" i="2" s="1"/>
  <c r="AX321" i="2"/>
  <c r="AX89" i="2"/>
  <c r="AP174" i="2"/>
  <c r="AV174" i="2" s="1"/>
  <c r="AX53" i="2"/>
  <c r="AP56" i="2"/>
  <c r="AV56" i="2" s="1"/>
  <c r="AP74" i="2"/>
  <c r="AV74" i="2" s="1"/>
  <c r="AX169" i="2"/>
  <c r="AY121" i="2"/>
  <c r="AX79" i="2"/>
  <c r="AP32" i="2"/>
  <c r="AV32" i="2" s="1"/>
  <c r="AY48" i="2"/>
  <c r="AX67" i="2"/>
  <c r="AY158" i="2"/>
  <c r="AY302" i="2"/>
  <c r="AP88" i="2"/>
  <c r="AV88" i="2" s="1"/>
  <c r="AP79" i="2"/>
  <c r="AV79" i="2" s="1"/>
  <c r="AY32" i="2"/>
  <c r="AX150" i="2"/>
  <c r="AY325" i="2"/>
  <c r="AX95" i="2"/>
  <c r="AX78" i="2"/>
  <c r="AP67" i="2"/>
  <c r="AV67" i="2" s="1"/>
  <c r="AR326" i="2"/>
  <c r="AR44" i="2"/>
  <c r="AX172" i="2"/>
  <c r="AX88" i="2"/>
  <c r="AR102" i="2"/>
  <c r="AY79" i="2"/>
  <c r="AP85" i="2"/>
  <c r="AV85" i="2" s="1"/>
  <c r="AP150" i="2"/>
  <c r="AV150" i="2" s="1"/>
  <c r="AP325" i="2"/>
  <c r="AV325" i="2" s="1"/>
  <c r="AP95" i="2"/>
  <c r="AV95" i="2" s="1"/>
  <c r="AR48" i="2"/>
  <c r="AP78" i="2"/>
  <c r="AV78" i="2" s="1"/>
  <c r="AY67" i="2"/>
  <c r="AR158" i="2"/>
  <c r="AX44" i="2"/>
  <c r="AP172" i="2"/>
  <c r="AV172" i="2" s="1"/>
  <c r="AX125" i="2"/>
  <c r="AY85" i="2"/>
  <c r="AY150" i="2"/>
  <c r="AY95" i="2"/>
  <c r="AY78" i="2"/>
  <c r="AP326" i="2"/>
  <c r="AV326" i="2" s="1"/>
  <c r="AP44" i="2"/>
  <c r="AV44" i="2" s="1"/>
  <c r="AP34" i="2"/>
  <c r="AV34" i="2" s="1"/>
  <c r="AR172" i="2"/>
  <c r="AY102" i="2"/>
  <c r="AP125" i="2"/>
  <c r="AV125" i="2" s="1"/>
  <c r="AR325" i="2"/>
  <c r="AP302" i="2"/>
  <c r="AV302" i="2" s="1"/>
  <c r="AX326" i="2"/>
  <c r="AY34" i="2"/>
  <c r="AR127" i="2"/>
  <c r="AY125" i="2"/>
  <c r="AR85" i="2"/>
  <c r="AR96" i="2"/>
  <c r="AR148" i="2"/>
  <c r="AX127" i="2"/>
  <c r="AR34" i="2"/>
  <c r="AR52" i="2"/>
  <c r="AY127" i="2"/>
  <c r="AX82" i="2"/>
  <c r="AP143" i="2"/>
  <c r="AV143" i="2" s="1"/>
  <c r="AR36" i="2"/>
  <c r="AR138" i="2"/>
  <c r="AR59" i="2"/>
  <c r="AP61" i="2"/>
  <c r="AV61" i="2" s="1"/>
  <c r="AR134" i="2"/>
  <c r="AP82" i="2"/>
  <c r="AV82" i="2" s="1"/>
  <c r="AY143" i="2"/>
  <c r="AP90" i="2"/>
  <c r="AV90" i="2" s="1"/>
  <c r="AY61" i="2"/>
  <c r="AR187" i="2"/>
  <c r="AX134" i="2"/>
  <c r="AY90" i="2"/>
  <c r="AR13" i="2"/>
  <c r="AY156" i="2"/>
  <c r="AP134" i="2"/>
  <c r="AV134" i="2" s="1"/>
  <c r="AX152" i="2"/>
  <c r="AR33" i="2"/>
  <c r="AX13" i="2"/>
  <c r="AR14" i="2"/>
  <c r="AR120" i="2"/>
  <c r="AY134" i="2"/>
  <c r="AY129" i="2"/>
  <c r="AX116" i="2"/>
  <c r="AX59" i="2"/>
  <c r="AP13" i="2"/>
  <c r="AV13" i="2" s="1"/>
  <c r="AX183" i="2"/>
  <c r="AX24" i="2"/>
  <c r="AX120" i="2"/>
  <c r="AR92" i="2"/>
  <c r="AY116" i="2"/>
  <c r="AY133" i="2"/>
  <c r="AP75" i="2"/>
  <c r="AV75" i="2" s="1"/>
  <c r="AY56" i="2"/>
  <c r="AP103" i="2"/>
  <c r="AV103" i="2" s="1"/>
  <c r="AX173" i="2"/>
  <c r="AR53" i="2"/>
  <c r="AP321" i="2"/>
  <c r="AV321" i="2" s="1"/>
  <c r="AX74" i="2"/>
  <c r="AP121" i="2"/>
  <c r="AV121" i="2" s="1"/>
  <c r="AY80" i="2"/>
  <c r="AP53" i="2"/>
  <c r="AV53" i="2" s="1"/>
  <c r="AY169" i="2"/>
  <c r="AY53" i="2"/>
  <c r="AP105" i="2"/>
  <c r="AV105" i="2" s="1"/>
  <c r="AR321" i="2"/>
  <c r="AY103" i="2"/>
  <c r="AX159" i="2"/>
  <c r="AR121" i="2"/>
  <c r="AP115" i="2"/>
  <c r="AV115" i="2" s="1"/>
  <c r="AP16" i="2"/>
  <c r="AV16" i="2" s="1"/>
  <c r="AP39" i="2"/>
  <c r="AV39" i="2" s="1"/>
  <c r="AX105" i="2"/>
  <c r="AR154" i="2"/>
  <c r="AX39" i="2"/>
  <c r="AR56" i="2"/>
  <c r="AY105" i="2"/>
  <c r="AR64" i="2"/>
  <c r="AP159" i="2"/>
  <c r="AV159" i="2" s="1"/>
  <c r="AR74" i="2"/>
  <c r="AY115" i="2"/>
  <c r="AY16" i="2"/>
  <c r="AR18" i="2"/>
  <c r="AY173" i="2"/>
  <c r="AR169" i="2"/>
  <c r="AX64" i="2"/>
  <c r="AY159" i="2"/>
  <c r="AR100" i="2"/>
  <c r="AR115" i="2"/>
  <c r="AX57" i="2"/>
  <c r="AX18" i="2"/>
  <c r="AR39" i="2"/>
  <c r="AR159" i="2"/>
  <c r="AR16" i="2"/>
  <c r="AR57" i="2"/>
  <c r="AY18" i="2"/>
  <c r="AY100" i="2"/>
  <c r="AP49" i="2"/>
  <c r="AV49" i="2" s="1"/>
  <c r="AP132" i="2"/>
  <c r="AV132" i="2" s="1"/>
  <c r="AR50" i="2"/>
  <c r="AP163" i="2"/>
  <c r="AV163" i="2" s="1"/>
  <c r="AR179" i="2"/>
  <c r="AR170" i="2"/>
  <c r="AR324" i="2"/>
  <c r="AY161" i="2"/>
  <c r="AY49" i="2"/>
  <c r="AY132" i="2"/>
  <c r="AX50" i="2"/>
  <c r="AY163" i="2"/>
  <c r="AX15" i="2"/>
  <c r="AX324" i="2"/>
  <c r="AR161" i="2"/>
  <c r="AY118" i="2"/>
  <c r="AP165" i="2"/>
  <c r="AV165" i="2" s="1"/>
  <c r="AX132" i="2"/>
  <c r="AP50" i="2"/>
  <c r="AV50" i="2" s="1"/>
  <c r="AP15" i="2"/>
  <c r="AV15" i="2" s="1"/>
  <c r="AX177" i="2"/>
  <c r="AY324" i="2"/>
  <c r="AX27" i="2"/>
  <c r="AP118" i="2"/>
  <c r="AV118" i="2" s="1"/>
  <c r="AX165" i="2"/>
  <c r="AY165" i="2"/>
  <c r="AX41" i="2"/>
  <c r="AX166" i="2"/>
  <c r="AY15" i="2"/>
  <c r="AP177" i="2"/>
  <c r="AV177" i="2" s="1"/>
  <c r="AP189" i="2"/>
  <c r="AV189" i="2" s="1"/>
  <c r="AY101" i="2"/>
  <c r="AP41" i="2"/>
  <c r="AV41" i="2" s="1"/>
  <c r="AX179" i="2"/>
  <c r="AP166" i="2"/>
  <c r="AV166" i="2" s="1"/>
  <c r="AX170" i="2"/>
  <c r="AP96" i="2"/>
  <c r="AV96" i="2" s="1"/>
  <c r="AY177" i="2"/>
  <c r="AR27" i="2"/>
  <c r="AR101" i="2"/>
  <c r="AP179" i="2"/>
  <c r="AV179" i="2" s="1"/>
  <c r="AY166" i="2"/>
  <c r="AP170" i="2"/>
  <c r="AV170" i="2" s="1"/>
  <c r="AY96" i="2"/>
  <c r="AR82" i="2"/>
  <c r="AY97" i="2"/>
  <c r="AX143" i="2"/>
  <c r="AX90" i="2"/>
  <c r="AR152" i="2"/>
  <c r="AY92" i="2"/>
  <c r="AR26" i="2"/>
  <c r="AY33" i="2"/>
  <c r="AP151" i="2"/>
  <c r="AV151" i="2" s="1"/>
  <c r="AX98" i="2"/>
  <c r="AP63" i="2"/>
  <c r="AV63" i="2" s="1"/>
  <c r="AY187" i="2"/>
  <c r="AP133" i="2"/>
  <c r="AV133" i="2" s="1"/>
  <c r="AP45" i="2"/>
  <c r="AV45" i="2" s="1"/>
  <c r="AP89" i="2"/>
  <c r="AV89" i="2" s="1"/>
  <c r="AY82" i="2"/>
  <c r="AX36" i="2"/>
  <c r="AX92" i="2"/>
  <c r="AY167" i="2"/>
  <c r="AP322" i="2"/>
  <c r="AV322" i="2" s="1"/>
  <c r="AX33" i="2"/>
  <c r="AR76" i="2"/>
  <c r="AP24" i="2"/>
  <c r="AV24" i="2" s="1"/>
  <c r="AX42" i="2"/>
  <c r="AR63" i="2"/>
  <c r="AX106" i="2"/>
  <c r="AY120" i="2"/>
  <c r="AP36" i="2"/>
  <c r="AV36" i="2" s="1"/>
  <c r="AX26" i="2"/>
  <c r="AR322" i="2"/>
  <c r="AX100" i="2"/>
  <c r="AX141" i="2"/>
  <c r="AX76" i="2"/>
  <c r="AP57" i="2"/>
  <c r="AV57" i="2" s="1"/>
  <c r="AY24" i="2"/>
  <c r="AP42" i="2"/>
  <c r="AV42" i="2" s="1"/>
  <c r="AP91" i="2"/>
  <c r="AV91" i="2" s="1"/>
  <c r="AP93" i="2"/>
  <c r="AV93" i="2" s="1"/>
  <c r="AP106" i="2"/>
  <c r="AV106" i="2" s="1"/>
  <c r="AY9" i="2"/>
  <c r="AX322" i="2"/>
  <c r="AR97" i="2"/>
  <c r="AY36" i="2"/>
  <c r="AP26" i="2"/>
  <c r="AV26" i="2" s="1"/>
  <c r="AP138" i="2"/>
  <c r="AV138" i="2" s="1"/>
  <c r="AR23" i="2"/>
  <c r="AY57" i="2"/>
  <c r="AY145" i="2"/>
  <c r="AR91" i="2"/>
  <c r="AY93" i="2"/>
  <c r="AR106" i="2"/>
  <c r="AY178" i="2"/>
  <c r="AR43" i="2"/>
  <c r="AX97" i="2"/>
  <c r="AR143" i="2"/>
  <c r="AP152" i="2"/>
  <c r="AV152" i="2" s="1"/>
  <c r="AY71" i="2"/>
  <c r="AY26" i="2"/>
  <c r="AY138" i="2"/>
  <c r="AY157" i="2"/>
  <c r="AP124" i="2"/>
  <c r="AV124" i="2" s="1"/>
  <c r="AY160" i="2"/>
  <c r="AP21" i="2"/>
  <c r="AV21" i="2" s="1"/>
  <c r="AP147" i="2"/>
  <c r="AV147" i="2" s="1"/>
  <c r="AP187" i="2"/>
  <c r="AV187" i="2" s="1"/>
  <c r="AX133" i="2"/>
  <c r="AP94" i="2"/>
  <c r="AV94" i="2" s="1"/>
  <c r="AP188" i="2"/>
  <c r="AV188" i="2" s="1"/>
  <c r="AX66" i="2"/>
  <c r="AY119" i="2"/>
  <c r="AX73" i="2"/>
  <c r="AP104" i="2"/>
  <c r="AV104" i="2" s="1"/>
  <c r="AY55" i="2"/>
  <c r="AX68" i="2"/>
  <c r="AY174" i="2"/>
  <c r="AY112" i="2"/>
  <c r="AP161" i="2"/>
  <c r="AV161" i="2" s="1"/>
  <c r="AP66" i="2"/>
  <c r="AV66" i="2" s="1"/>
  <c r="AP73" i="2"/>
  <c r="AV73" i="2" s="1"/>
  <c r="AY104" i="2"/>
  <c r="AY68" i="2"/>
  <c r="AY19" i="2"/>
  <c r="AY66" i="2"/>
  <c r="AR119" i="2"/>
  <c r="AY73" i="2"/>
  <c r="AR55" i="2"/>
  <c r="AR174" i="2"/>
  <c r="AP19" i="2"/>
  <c r="AV19" i="2" s="1"/>
  <c r="AY88" i="2"/>
  <c r="AR188" i="2"/>
  <c r="AP180" i="2"/>
  <c r="AV180" i="2" s="1"/>
  <c r="AR19" i="2"/>
  <c r="AY10" i="2"/>
  <c r="AP101" i="2"/>
  <c r="AV101" i="2" s="1"/>
  <c r="AY86" i="2"/>
  <c r="AR87" i="2"/>
  <c r="AY180" i="2"/>
  <c r="AX181" i="2"/>
  <c r="AX81" i="2"/>
  <c r="AX87" i="2"/>
  <c r="AR180" i="2"/>
  <c r="AP181" i="2"/>
  <c r="AV181" i="2" s="1"/>
  <c r="AY81" i="2"/>
  <c r="AX101" i="2"/>
  <c r="AY172" i="2"/>
  <c r="AX113" i="2"/>
  <c r="AR181" i="2"/>
  <c r="AP86" i="2"/>
  <c r="AV86" i="2" s="1"/>
  <c r="AR113" i="2"/>
  <c r="AY107" i="2"/>
  <c r="AX303" i="2"/>
  <c r="AY305" i="2"/>
  <c r="AX171" i="2"/>
  <c r="AP153" i="2"/>
  <c r="AV153" i="2" s="1"/>
  <c r="AY303" i="2"/>
  <c r="AX122" i="2"/>
  <c r="AX139" i="2"/>
  <c r="AR86" i="2"/>
  <c r="AR303" i="2"/>
  <c r="AP122" i="2"/>
  <c r="AV122" i="2" s="1"/>
  <c r="AP303" i="2"/>
  <c r="AV303" i="2" s="1"/>
  <c r="AY122" i="2"/>
  <c r="AX175" i="2"/>
  <c r="AX70" i="2"/>
  <c r="AP190" i="2"/>
  <c r="AV190" i="2" s="1"/>
  <c r="AP107" i="2"/>
  <c r="AV107" i="2" s="1"/>
  <c r="AY153" i="2"/>
  <c r="AY70" i="2"/>
  <c r="AP184" i="2"/>
  <c r="AV184" i="2" s="1"/>
  <c r="AY175" i="2"/>
  <c r="AY89" i="2"/>
  <c r="AY139" i="2"/>
  <c r="AR140" i="2"/>
  <c r="AP116" i="2"/>
  <c r="AV116" i="2" s="1"/>
  <c r="AY171" i="2"/>
  <c r="AY31" i="2"/>
  <c r="AR58" i="2"/>
  <c r="AR135" i="2"/>
  <c r="AY42" i="2"/>
  <c r="AR145" i="2"/>
  <c r="AP38" i="2"/>
  <c r="AV38" i="2" s="1"/>
  <c r="AP156" i="2"/>
  <c r="AV156" i="2" s="1"/>
  <c r="AX54" i="2"/>
  <c r="AX45" i="2"/>
  <c r="AP160" i="2"/>
  <c r="AV160" i="2" s="1"/>
  <c r="AR107" i="2"/>
  <c r="AX21" i="2"/>
  <c r="AR144" i="2"/>
  <c r="AP139" i="2"/>
  <c r="AV139" i="2" s="1"/>
  <c r="AP70" i="2"/>
  <c r="AV70" i="2" s="1"/>
  <c r="AY190" i="2"/>
  <c r="AP175" i="2"/>
  <c r="AV175" i="2" s="1"/>
  <c r="AX58" i="2"/>
  <c r="AX136" i="2"/>
  <c r="AP54" i="2"/>
  <c r="AV54" i="2" s="1"/>
  <c r="AR108" i="2"/>
  <c r="AP140" i="2"/>
  <c r="AV140" i="2" s="1"/>
  <c r="AR167" i="2"/>
  <c r="AR29" i="2"/>
  <c r="AX126" i="2"/>
  <c r="AR157" i="2"/>
  <c r="AP58" i="2"/>
  <c r="AV58" i="2" s="1"/>
  <c r="AX30" i="2"/>
  <c r="AY151" i="2"/>
  <c r="AP11" i="2"/>
  <c r="AV11" i="2" s="1"/>
  <c r="AP183" i="2"/>
  <c r="AV183" i="2" s="1"/>
  <c r="AX142" i="2"/>
  <c r="AP136" i="2"/>
  <c r="AV136" i="2" s="1"/>
  <c r="AY54" i="2"/>
  <c r="AR137" i="2"/>
  <c r="AY45" i="2"/>
  <c r="AP8" i="2"/>
  <c r="AV8" i="2" s="1"/>
  <c r="AX160" i="2"/>
  <c r="AX28" i="2"/>
  <c r="AY21" i="2"/>
  <c r="AY168" i="2"/>
  <c r="AP171" i="2"/>
  <c r="AV171" i="2" s="1"/>
  <c r="AR126" i="2"/>
  <c r="AP168" i="2"/>
  <c r="AV168" i="2" s="1"/>
  <c r="AR70" i="2"/>
  <c r="AR190" i="2"/>
  <c r="AX108" i="2"/>
  <c r="AY140" i="2"/>
  <c r="AR305" i="2"/>
  <c r="AX29" i="2"/>
  <c r="AP126" i="2"/>
  <c r="AV126" i="2" s="1"/>
  <c r="AP76" i="2"/>
  <c r="AV76" i="2" s="1"/>
  <c r="AY58" i="2"/>
  <c r="AR151" i="2"/>
  <c r="AX23" i="2"/>
  <c r="AY183" i="2"/>
  <c r="AX84" i="2"/>
  <c r="AR142" i="2"/>
  <c r="AR136" i="2"/>
  <c r="AR156" i="2"/>
  <c r="AR17" i="2"/>
  <c r="AX137" i="2"/>
  <c r="AY8" i="2"/>
  <c r="AR168" i="2"/>
  <c r="AP108" i="2"/>
  <c r="AV108" i="2" s="1"/>
  <c r="AX167" i="2"/>
  <c r="AP305" i="2"/>
  <c r="AV305" i="2" s="1"/>
  <c r="AP29" i="2"/>
  <c r="AV29" i="2" s="1"/>
  <c r="AX157" i="2"/>
  <c r="AR171" i="2"/>
  <c r="AY76" i="2"/>
  <c r="AP135" i="2"/>
  <c r="AV135" i="2" s="1"/>
  <c r="AP23" i="2"/>
  <c r="AV23" i="2" s="1"/>
  <c r="AP84" i="2"/>
  <c r="AV84" i="2" s="1"/>
  <c r="AX14" i="2"/>
  <c r="AX145" i="2"/>
  <c r="AP137" i="2"/>
  <c r="AV137" i="2" s="1"/>
  <c r="AX112" i="2"/>
  <c r="AR28" i="2"/>
  <c r="AR75" i="2"/>
  <c r="AR153" i="2"/>
  <c r="AR93" i="2"/>
  <c r="AY84" i="2"/>
  <c r="AY14" i="2"/>
  <c r="AP12" i="2"/>
  <c r="AV12" i="2" s="1"/>
  <c r="AP112" i="2"/>
  <c r="AV112" i="2" s="1"/>
  <c r="AX9" i="2"/>
  <c r="AX75" i="2"/>
  <c r="AP71" i="2"/>
  <c r="AV71" i="2" s="1"/>
  <c r="AR141" i="2"/>
  <c r="AX147" i="2"/>
  <c r="AX11" i="2"/>
  <c r="AX124" i="2"/>
  <c r="AX12" i="2"/>
  <c r="AP68" i="2"/>
  <c r="AV68" i="2" s="1"/>
  <c r="AP81" i="2"/>
  <c r="AV81" i="2" s="1"/>
  <c r="AR80" i="2"/>
  <c r="AP142" i="2"/>
  <c r="AV142" i="2" s="1"/>
  <c r="AX38" i="2"/>
  <c r="AX189" i="2"/>
  <c r="AP10" i="2"/>
  <c r="AV10" i="2" s="1"/>
  <c r="AP178" i="2"/>
  <c r="AV178" i="2" s="1"/>
  <c r="AP9" i="2"/>
  <c r="AV9" i="2" s="1"/>
  <c r="AP129" i="2"/>
  <c r="AV129" i="2" s="1"/>
  <c r="AP30" i="2"/>
  <c r="AV30" i="2" s="1"/>
  <c r="AY147" i="2"/>
  <c r="AY11" i="2"/>
  <c r="AY124" i="2"/>
  <c r="AY12" i="2"/>
  <c r="AP98" i="2"/>
  <c r="AV98" i="2" s="1"/>
  <c r="AX60" i="2"/>
  <c r="AX128" i="2"/>
  <c r="AY38" i="2"/>
  <c r="AR189" i="2"/>
  <c r="AX17" i="2"/>
  <c r="AY94" i="2"/>
  <c r="AR8" i="2"/>
  <c r="AR178" i="2"/>
  <c r="AX20" i="2"/>
  <c r="AR149" i="2"/>
  <c r="AX129" i="2"/>
  <c r="AR25" i="2"/>
  <c r="AY30" i="2"/>
  <c r="AR111" i="2"/>
  <c r="AR40" i="2"/>
  <c r="AP60" i="2"/>
  <c r="AV60" i="2" s="1"/>
  <c r="AX131" i="2"/>
  <c r="AR128" i="2"/>
  <c r="AP17" i="2"/>
  <c r="AV17" i="2" s="1"/>
  <c r="AX52" i="2"/>
  <c r="AR69" i="2"/>
  <c r="AR35" i="2"/>
  <c r="AX178" i="2"/>
  <c r="AP20" i="2"/>
  <c r="AV20" i="2" s="1"/>
  <c r="AX43" i="2"/>
  <c r="AX25" i="2"/>
  <c r="AR71" i="2"/>
  <c r="AP141" i="2"/>
  <c r="AV141" i="2" s="1"/>
  <c r="AX111" i="2"/>
  <c r="AX40" i="2"/>
  <c r="AR98" i="2"/>
  <c r="AY60" i="2"/>
  <c r="AR131" i="2"/>
  <c r="AX80" i="2"/>
  <c r="AP128" i="2"/>
  <c r="AV128" i="2" s="1"/>
  <c r="AP148" i="2"/>
  <c r="AV148" i="2" s="1"/>
  <c r="AY17" i="2"/>
  <c r="AP52" i="2"/>
  <c r="AV52" i="2" s="1"/>
  <c r="AX69" i="2"/>
  <c r="AY20" i="2"/>
  <c r="AP43" i="2"/>
  <c r="AV43" i="2" s="1"/>
  <c r="E27" i="4"/>
  <c r="I27" i="4" s="1"/>
  <c r="AX149" i="2"/>
  <c r="AP25" i="2"/>
  <c r="AV25" i="2" s="1"/>
  <c r="AP111" i="2"/>
  <c r="AV111" i="2" s="1"/>
  <c r="AP40" i="2"/>
  <c r="AV40" i="2" s="1"/>
  <c r="AX77" i="2"/>
  <c r="AP131" i="2"/>
  <c r="AV131" i="2" s="1"/>
  <c r="AX91" i="2"/>
  <c r="AY148" i="2"/>
  <c r="AP69" i="2"/>
  <c r="AV69" i="2" s="1"/>
  <c r="AP149" i="2"/>
  <c r="AV149" i="2" s="1"/>
  <c r="AY111" i="2"/>
  <c r="AP77" i="2"/>
  <c r="AV77" i="2" s="1"/>
  <c r="AR10" i="2"/>
  <c r="AY69" i="2"/>
  <c r="AR94" i="2"/>
  <c r="AP62" i="2"/>
  <c r="AV62" i="2" s="1"/>
  <c r="AY181" i="2"/>
  <c r="AY131" i="2"/>
  <c r="AY83" i="2"/>
  <c r="AP154" i="2"/>
  <c r="AV154" i="2" s="1"/>
  <c r="AY142" i="2"/>
  <c r="AY91" i="2"/>
  <c r="AY136" i="2"/>
  <c r="AY189" i="2"/>
  <c r="AP27" i="2"/>
  <c r="AV27" i="2" s="1"/>
  <c r="AY106" i="2"/>
  <c r="AP28" i="2"/>
  <c r="AV28" i="2" s="1"/>
  <c r="AY75" i="2"/>
  <c r="AP113" i="2"/>
  <c r="AV113" i="2" s="1"/>
  <c r="AR110" i="2"/>
  <c r="AX168" i="2"/>
  <c r="E8" i="4"/>
  <c r="I8" i="4" s="1"/>
  <c r="AY62" i="2"/>
  <c r="AY154" i="2"/>
  <c r="AX35" i="2"/>
  <c r="AY113" i="2"/>
  <c r="AX144" i="2"/>
  <c r="AR83" i="2"/>
  <c r="AP35" i="2"/>
  <c r="AV35" i="2" s="1"/>
  <c r="AP99" i="2"/>
  <c r="AP144" i="2"/>
  <c r="AV144" i="2" s="1"/>
  <c r="AR62" i="2"/>
  <c r="AY35" i="2"/>
  <c r="AY99" i="2"/>
  <c r="AX110" i="2"/>
  <c r="AY144" i="2"/>
  <c r="AR99" i="2"/>
  <c r="AP110" i="2"/>
  <c r="AV110" i="2" s="1"/>
  <c r="AX83" i="2"/>
  <c r="E10" i="4"/>
  <c r="G10" i="4" s="1"/>
  <c r="G19" i="4" s="1"/>
  <c r="E15" i="4"/>
  <c r="I15" i="4" s="1"/>
  <c r="E25" i="4"/>
  <c r="I25" i="4" s="1"/>
  <c r="E7" i="4"/>
  <c r="G7" i="4" s="1"/>
  <c r="G28" i="4"/>
  <c r="K28" i="4" s="1"/>
  <c r="AD292" i="2"/>
  <c r="AH292" i="2" s="1"/>
  <c r="AD295" i="2"/>
  <c r="AD298" i="2"/>
  <c r="AD299" i="2"/>
  <c r="AH299" i="2" s="1"/>
  <c r="AD297" i="2"/>
  <c r="AH297" i="2" s="1"/>
  <c r="AD293" i="2"/>
  <c r="AD287" i="2"/>
  <c r="AH287" i="2" s="1"/>
  <c r="AD279" i="2"/>
  <c r="AH279" i="2" s="1"/>
  <c r="AD296" i="2"/>
  <c r="AD285" i="2"/>
  <c r="AH285" i="2" s="1"/>
  <c r="AD277" i="2"/>
  <c r="AH277" i="2" s="1"/>
  <c r="AI277" i="2" s="1"/>
  <c r="AO277" i="2" s="1"/>
  <c r="AD288" i="2"/>
  <c r="AH288" i="2" s="1"/>
  <c r="AD280" i="2"/>
  <c r="AD291" i="2"/>
  <c r="AH291" i="2" s="1"/>
  <c r="AD283" i="2"/>
  <c r="AD294" i="2"/>
  <c r="AH294" i="2" s="1"/>
  <c r="AI294" i="2" s="1"/>
  <c r="AO294" i="2" s="1"/>
  <c r="AD284" i="2"/>
  <c r="AD276" i="2"/>
  <c r="AH276" i="2" s="1"/>
  <c r="AD286" i="2"/>
  <c r="AD281" i="2"/>
  <c r="AH281" i="2" s="1"/>
  <c r="AD270" i="2"/>
  <c r="AD262" i="2"/>
  <c r="AH262" i="2" s="1"/>
  <c r="AD273" i="2"/>
  <c r="AD265" i="2"/>
  <c r="AH265" i="2" s="1"/>
  <c r="AD289" i="2"/>
  <c r="AH289" i="2" s="1"/>
  <c r="AD275" i="2"/>
  <c r="AH275" i="2" s="1"/>
  <c r="AD268" i="2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D261" i="2"/>
  <c r="AD257" i="2"/>
  <c r="AD249" i="2"/>
  <c r="AH249" i="2" s="1"/>
  <c r="AD241" i="2"/>
  <c r="AH241" i="2" s="1"/>
  <c r="AI241" i="2" s="1"/>
  <c r="AO241" i="2" s="1"/>
  <c r="AD252" i="2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D272" i="2"/>
  <c r="AD264" i="2"/>
  <c r="AD253" i="2"/>
  <c r="AD245" i="2"/>
  <c r="AD267" i="2"/>
  <c r="AD258" i="2"/>
  <c r="AH258" i="2" s="1"/>
  <c r="AD254" i="2"/>
  <c r="AD246" i="2"/>
  <c r="AH246" i="2" s="1"/>
  <c r="AD238" i="2"/>
  <c r="AD259" i="2"/>
  <c r="AH259" i="2" s="1"/>
  <c r="AD256" i="2"/>
  <c r="AH256" i="2" s="1"/>
  <c r="AD248" i="2"/>
  <c r="AD240" i="2"/>
  <c r="AH240" i="2" s="1"/>
  <c r="AD234" i="2"/>
  <c r="AH234" i="2" s="1"/>
  <c r="AD226" i="2"/>
  <c r="AH226" i="2" s="1"/>
  <c r="AD218" i="2"/>
  <c r="AH218" i="2" s="1"/>
  <c r="AD237" i="2"/>
  <c r="AD229" i="2"/>
  <c r="AD221" i="2"/>
  <c r="AD278" i="2"/>
  <c r="AD251" i="2"/>
  <c r="AH251" i="2" s="1"/>
  <c r="AD243" i="2"/>
  <c r="AH243" i="2" s="1"/>
  <c r="AI243" i="2" s="1"/>
  <c r="AO243" i="2" s="1"/>
  <c r="AD232" i="2"/>
  <c r="AH232" i="2" s="1"/>
  <c r="AI232" i="2" s="1"/>
  <c r="AO232" i="2" s="1"/>
  <c r="AD224" i="2"/>
  <c r="AH224" i="2" s="1"/>
  <c r="AD235" i="2"/>
  <c r="AD227" i="2"/>
  <c r="AH227" i="2" s="1"/>
  <c r="AD219" i="2"/>
  <c r="AD230" i="2"/>
  <c r="AH230" i="2" s="1"/>
  <c r="AD222" i="2"/>
  <c r="AH222" i="2" s="1"/>
  <c r="AD233" i="2"/>
  <c r="AH233" i="2" s="1"/>
  <c r="AI233" i="2" s="1"/>
  <c r="AO233" i="2" s="1"/>
  <c r="AD225" i="2"/>
  <c r="AD236" i="2"/>
  <c r="AD228" i="2"/>
  <c r="AD220" i="2"/>
  <c r="AH220" i="2" s="1"/>
  <c r="AD231" i="2"/>
  <c r="AH231" i="2" s="1"/>
  <c r="AD217" i="2"/>
  <c r="AH217" i="2" s="1"/>
  <c r="AD215" i="2"/>
  <c r="AH215" i="2" s="1"/>
  <c r="AI215" i="2" s="1"/>
  <c r="AO215" i="2" s="1"/>
  <c r="AD207" i="2"/>
  <c r="AH207" i="2" s="1"/>
  <c r="AD199" i="2"/>
  <c r="AH199" i="2" s="1"/>
  <c r="AD223" i="2"/>
  <c r="AH223" i="2" s="1"/>
  <c r="AD210" i="2"/>
  <c r="AD202" i="2"/>
  <c r="AD213" i="2"/>
  <c r="AD205" i="2"/>
  <c r="AH205" i="2" s="1"/>
  <c r="AD216" i="2"/>
  <c r="AD208" i="2"/>
  <c r="AH208" i="2" s="1"/>
  <c r="AD200" i="2"/>
  <c r="AH200" i="2" s="1"/>
  <c r="AI200" i="2" s="1"/>
  <c r="AO200" i="2" s="1"/>
  <c r="AD211" i="2"/>
  <c r="AH211" i="2" s="1"/>
  <c r="AD203" i="2"/>
  <c r="AH203" i="2" s="1"/>
  <c r="AD214" i="2"/>
  <c r="AH214" i="2" s="1"/>
  <c r="AD206" i="2"/>
  <c r="AD198" i="2"/>
  <c r="AD212" i="2"/>
  <c r="AH212" i="2" s="1"/>
  <c r="AD204" i="2"/>
  <c r="AD196" i="2"/>
  <c r="AH196" i="2" s="1"/>
  <c r="AD209" i="2"/>
  <c r="AH209" i="2" s="1"/>
  <c r="AD192" i="2"/>
  <c r="AD195" i="2"/>
  <c r="AD201" i="2"/>
  <c r="AD197" i="2"/>
  <c r="AD193" i="2"/>
  <c r="AD191" i="2"/>
  <c r="AD194" i="2"/>
  <c r="AH194" i="2" s="1"/>
  <c r="AI194" i="2" s="1"/>
  <c r="AO194" i="2" s="1"/>
  <c r="AY182" i="2"/>
  <c r="AP182" i="2"/>
  <c r="AV182" i="2" s="1"/>
  <c r="AX182" i="2"/>
  <c r="AR182" i="2"/>
  <c r="AY185" i="2"/>
  <c r="AP185" i="2"/>
  <c r="AV185" i="2" s="1"/>
  <c r="AX185" i="2"/>
  <c r="AR185" i="2"/>
  <c r="G11" i="4"/>
  <c r="AY162" i="2"/>
  <c r="AP162" i="2"/>
  <c r="AV162" i="2" s="1"/>
  <c r="AX162" i="2"/>
  <c r="AR162" i="2"/>
  <c r="E310" i="2"/>
  <c r="F309" i="2"/>
  <c r="AY164" i="2"/>
  <c r="AP164" i="2"/>
  <c r="AV164" i="2" s="1"/>
  <c r="AX164" i="2"/>
  <c r="AR164" i="2"/>
  <c r="AC308" i="2"/>
  <c r="N308" i="2"/>
  <c r="AY130" i="2"/>
  <c r="AP130" i="2"/>
  <c r="AV130" i="2" s="1"/>
  <c r="AX130" i="2"/>
  <c r="AR130" i="2"/>
  <c r="AR304" i="2"/>
  <c r="AX304" i="2"/>
  <c r="AP304" i="2"/>
  <c r="AV304" i="2" s="1"/>
  <c r="AY304" i="2"/>
  <c r="G16" i="4"/>
  <c r="K16" i="4" s="1"/>
  <c r="AY22" i="2"/>
  <c r="AP22" i="2"/>
  <c r="AV22" i="2" s="1"/>
  <c r="AX22" i="2"/>
  <c r="AR22" i="2"/>
  <c r="AR323" i="2"/>
  <c r="AP323" i="2"/>
  <c r="AV323" i="2" s="1"/>
  <c r="AX323" i="2"/>
  <c r="AY323" i="2"/>
  <c r="V18" i="3"/>
  <c r="U18" i="3"/>
  <c r="T18" i="3"/>
  <c r="S18" i="3"/>
  <c r="R18" i="3"/>
  <c r="Q18" i="3"/>
  <c r="W18" i="3"/>
  <c r="AO114" i="2" l="1"/>
  <c r="AP114" i="2"/>
  <c r="AV114" i="2" s="1"/>
  <c r="BB114" i="2"/>
  <c r="AO37" i="2"/>
  <c r="BA37" i="2"/>
  <c r="AP37" i="2"/>
  <c r="AV37" i="2" s="1"/>
  <c r="BB37" i="2"/>
  <c r="AX37" i="2"/>
  <c r="AR37" i="2"/>
  <c r="AY37" i="2"/>
  <c r="BE37" i="2"/>
  <c r="BC37" i="2"/>
  <c r="BF37" i="2"/>
  <c r="BD37" i="2"/>
  <c r="AO123" i="2"/>
  <c r="BB123" i="2"/>
  <c r="AX114" i="2"/>
  <c r="BA114" i="2"/>
  <c r="AY114" i="2"/>
  <c r="BC114" i="2"/>
  <c r="AR114" i="2"/>
  <c r="BD114" i="2"/>
  <c r="BA109" i="2"/>
  <c r="BE114" i="2"/>
  <c r="BF114" i="2"/>
  <c r="AO65" i="2"/>
  <c r="BD65" i="2"/>
  <c r="AR65" i="2"/>
  <c r="AY65" i="2"/>
  <c r="AQ65" i="2"/>
  <c r="AW65" i="2" s="1"/>
  <c r="BC65" i="2"/>
  <c r="BF65" i="2"/>
  <c r="AP65" i="2"/>
  <c r="AV65" i="2" s="1"/>
  <c r="BB65" i="2"/>
  <c r="AX65" i="2"/>
  <c r="BA65" i="2"/>
  <c r="BE65" i="2"/>
  <c r="AO146" i="2"/>
  <c r="AX146" i="2"/>
  <c r="AQ109" i="2"/>
  <c r="AW109" i="2" s="1"/>
  <c r="AI203" i="2"/>
  <c r="AO203" i="2" s="1"/>
  <c r="BB109" i="2"/>
  <c r="AQ37" i="2"/>
  <c r="AW37" i="2" s="1"/>
  <c r="AH228" i="2"/>
  <c r="AI228" i="2" s="1"/>
  <c r="AO228" i="2" s="1"/>
  <c r="BC109" i="2"/>
  <c r="AI250" i="2"/>
  <c r="AO250" i="2" s="1"/>
  <c r="BD109" i="2"/>
  <c r="AI234" i="2"/>
  <c r="AO234" i="2" s="1"/>
  <c r="AI288" i="2"/>
  <c r="AO288" i="2" s="1"/>
  <c r="AY109" i="2"/>
  <c r="BE109" i="2"/>
  <c r="AQ114" i="2"/>
  <c r="AW114" i="2" s="1"/>
  <c r="AH210" i="2"/>
  <c r="AI210" i="2" s="1"/>
  <c r="AH280" i="2"/>
  <c r="AI280" i="2" s="1"/>
  <c r="AI222" i="2"/>
  <c r="AO222" i="2" s="1"/>
  <c r="AX109" i="2"/>
  <c r="AR109" i="2"/>
  <c r="BF109" i="2"/>
  <c r="AH283" i="2"/>
  <c r="AI283" i="2" s="1"/>
  <c r="AH272" i="2"/>
  <c r="AI272" i="2" s="1"/>
  <c r="AH216" i="2"/>
  <c r="AI216" i="2" s="1"/>
  <c r="AO216" i="2" s="1"/>
  <c r="AI285" i="2"/>
  <c r="AO285" i="2" s="1"/>
  <c r="AH257" i="2"/>
  <c r="AI257" i="2" s="1"/>
  <c r="AP109" i="2"/>
  <c r="AV109" i="2" s="1"/>
  <c r="AO158" i="2"/>
  <c r="AU158" i="2" s="1"/>
  <c r="F24" i="4"/>
  <c r="G24" i="4" s="1"/>
  <c r="AO186" i="2"/>
  <c r="BE186" i="2"/>
  <c r="AX186" i="2"/>
  <c r="BD186" i="2"/>
  <c r="AQ186" i="2"/>
  <c r="AW186" i="2" s="1"/>
  <c r="BC186" i="2"/>
  <c r="AY186" i="2"/>
  <c r="BB186" i="2"/>
  <c r="BA186" i="2"/>
  <c r="AR186" i="2"/>
  <c r="BF186" i="2"/>
  <c r="AP186" i="2"/>
  <c r="AV186" i="2" s="1"/>
  <c r="AO155" i="2"/>
  <c r="BA155" i="2"/>
  <c r="AR155" i="2"/>
  <c r="AY155" i="2"/>
  <c r="BB155" i="2"/>
  <c r="AX155" i="2"/>
  <c r="BD155" i="2"/>
  <c r="AQ155" i="2"/>
  <c r="AW155" i="2" s="1"/>
  <c r="BF155" i="2"/>
  <c r="AP155" i="2"/>
  <c r="AV155" i="2" s="1"/>
  <c r="BE155" i="2"/>
  <c r="BC155" i="2"/>
  <c r="AO51" i="2"/>
  <c r="AQ51" i="2"/>
  <c r="AW51" i="2" s="1"/>
  <c r="BC51" i="2"/>
  <c r="BE51" i="2"/>
  <c r="BA51" i="2"/>
  <c r="AY51" i="2"/>
  <c r="BB51" i="2"/>
  <c r="AP51" i="2"/>
  <c r="AV51" i="2" s="1"/>
  <c r="AR51" i="2"/>
  <c r="BF51" i="2"/>
  <c r="BD51" i="2"/>
  <c r="AX51" i="2"/>
  <c r="AX123" i="2"/>
  <c r="AI205" i="2"/>
  <c r="AO205" i="2" s="1"/>
  <c r="AI209" i="2"/>
  <c r="AO209" i="2" s="1"/>
  <c r="AI256" i="2"/>
  <c r="AO256" i="2" s="1"/>
  <c r="AI290" i="2"/>
  <c r="AO290" i="2" s="1"/>
  <c r="AH198" i="2"/>
  <c r="AI198" i="2" s="1"/>
  <c r="AH202" i="2"/>
  <c r="AI202" i="2" s="1"/>
  <c r="AH278" i="2"/>
  <c r="AI278" i="2" s="1"/>
  <c r="AH242" i="2"/>
  <c r="AI242" i="2" s="1"/>
  <c r="AH201" i="2"/>
  <c r="AI201" i="2" s="1"/>
  <c r="AO201" i="2" s="1"/>
  <c r="AH253" i="2"/>
  <c r="AI253" i="2" s="1"/>
  <c r="AO253" i="2" s="1"/>
  <c r="AI231" i="2"/>
  <c r="AO231" i="2" s="1"/>
  <c r="AI258" i="2"/>
  <c r="AO258" i="2" s="1"/>
  <c r="AI289" i="2"/>
  <c r="AO289" i="2" s="1"/>
  <c r="AI271" i="2"/>
  <c r="AO271" i="2" s="1"/>
  <c r="AR123" i="2"/>
  <c r="AP146" i="2"/>
  <c r="AV146" i="2" s="1"/>
  <c r="BC123" i="2"/>
  <c r="BA146" i="2"/>
  <c r="AH295" i="2"/>
  <c r="AI295" i="2" s="1"/>
  <c r="AI276" i="2"/>
  <c r="AO276" i="2" s="1"/>
  <c r="AH206" i="2"/>
  <c r="AI206" i="2" s="1"/>
  <c r="AI227" i="2"/>
  <c r="AO227" i="2" s="1"/>
  <c r="AI297" i="2"/>
  <c r="AO297" i="2" s="1"/>
  <c r="AH229" i="2"/>
  <c r="AI229" i="2" s="1"/>
  <c r="AO229" i="2" s="1"/>
  <c r="AH268" i="2"/>
  <c r="AI268" i="2" s="1"/>
  <c r="AH252" i="2"/>
  <c r="AI252" i="2" s="1"/>
  <c r="AI246" i="2"/>
  <c r="AO246" i="2" s="1"/>
  <c r="AH308" i="2"/>
  <c r="AI308" i="2" s="1"/>
  <c r="AO308" i="2" s="1"/>
  <c r="AI196" i="2"/>
  <c r="AO196" i="2" s="1"/>
  <c r="AH286" i="2"/>
  <c r="AI286" i="2" s="1"/>
  <c r="AI262" i="2"/>
  <c r="AO262" i="2" s="1"/>
  <c r="AI230" i="2"/>
  <c r="AO230" i="2" s="1"/>
  <c r="AI220" i="2"/>
  <c r="AO220" i="2" s="1"/>
  <c r="AH236" i="2"/>
  <c r="AI236" i="2" s="1"/>
  <c r="AR146" i="2"/>
  <c r="BF123" i="2"/>
  <c r="BB146" i="2"/>
  <c r="AQ123" i="2"/>
  <c r="AW123" i="2" s="1"/>
  <c r="AI263" i="2"/>
  <c r="AO263" i="2" s="1"/>
  <c r="AI249" i="2"/>
  <c r="AO249" i="2" s="1"/>
  <c r="AI265" i="2"/>
  <c r="AO265" i="2" s="1"/>
  <c r="AH191" i="2"/>
  <c r="AI191" i="2" s="1"/>
  <c r="AH219" i="2"/>
  <c r="AI219" i="2" s="1"/>
  <c r="AH193" i="2"/>
  <c r="AI193" i="2" s="1"/>
  <c r="AO193" i="2" s="1"/>
  <c r="AH267" i="2"/>
  <c r="AI267" i="2" s="1"/>
  <c r="AO267" i="2" s="1"/>
  <c r="AI211" i="2"/>
  <c r="AO211" i="2" s="1"/>
  <c r="AH235" i="2"/>
  <c r="AI235" i="2" s="1"/>
  <c r="AI299" i="2"/>
  <c r="AO299" i="2" s="1"/>
  <c r="AI251" i="2"/>
  <c r="AO251" i="2" s="1"/>
  <c r="AI260" i="2"/>
  <c r="AO260" i="2" s="1"/>
  <c r="AI292" i="2"/>
  <c r="AO292" i="2" s="1"/>
  <c r="BC146" i="2"/>
  <c r="AQ146" i="2"/>
  <c r="AW146" i="2" s="1"/>
  <c r="AI259" i="2"/>
  <c r="AO259" i="2" s="1"/>
  <c r="AH269" i="2"/>
  <c r="AI269" i="2" s="1"/>
  <c r="AH225" i="2"/>
  <c r="AI225" i="2" s="1"/>
  <c r="AO225" i="2" s="1"/>
  <c r="AI279" i="2"/>
  <c r="AO279" i="2" s="1"/>
  <c r="AH261" i="2"/>
  <c r="AI261" i="2" s="1"/>
  <c r="AI226" i="2"/>
  <c r="AO226" i="2" s="1"/>
  <c r="AI287" i="2"/>
  <c r="AO287" i="2" s="1"/>
  <c r="AH298" i="2"/>
  <c r="AI298" i="2" s="1"/>
  <c r="AI208" i="2"/>
  <c r="AO208" i="2" s="1"/>
  <c r="AH270" i="2"/>
  <c r="AI270" i="2" s="1"/>
  <c r="AI223" i="2"/>
  <c r="AO223" i="2" s="1"/>
  <c r="AH197" i="2"/>
  <c r="AI197" i="2" s="1"/>
  <c r="AH293" i="2"/>
  <c r="AI293" i="2" s="1"/>
  <c r="AO293" i="2" s="1"/>
  <c r="AH254" i="2"/>
  <c r="AI254" i="2" s="1"/>
  <c r="AH248" i="2"/>
  <c r="AI248" i="2" s="1"/>
  <c r="AO248" i="2" s="1"/>
  <c r="AH284" i="2"/>
  <c r="AI284" i="2" s="1"/>
  <c r="AI207" i="2"/>
  <c r="AO207" i="2" s="1"/>
  <c r="AY146" i="2"/>
  <c r="BD146" i="2"/>
  <c r="AI239" i="2"/>
  <c r="AO239" i="2" s="1"/>
  <c r="AI275" i="2"/>
  <c r="AO275" i="2" s="1"/>
  <c r="AH204" i="2"/>
  <c r="AI204" i="2" s="1"/>
  <c r="AH245" i="2"/>
  <c r="AI245" i="2" s="1"/>
  <c r="AO245" i="2" s="1"/>
  <c r="AI217" i="2"/>
  <c r="AO217" i="2" s="1"/>
  <c r="AI224" i="2"/>
  <c r="AO224" i="2" s="1"/>
  <c r="AH221" i="2"/>
  <c r="AI221" i="2" s="1"/>
  <c r="AO221" i="2" s="1"/>
  <c r="AI212" i="2"/>
  <c r="AO212" i="2" s="1"/>
  <c r="AH195" i="2"/>
  <c r="AI195" i="2" s="1"/>
  <c r="AO195" i="2" s="1"/>
  <c r="AH296" i="2"/>
  <c r="AI296" i="2" s="1"/>
  <c r="AO296" i="2" s="1"/>
  <c r="AP123" i="2"/>
  <c r="AV123" i="2" s="1"/>
  <c r="BE146" i="2"/>
  <c r="AI214" i="2"/>
  <c r="AO214" i="2" s="1"/>
  <c r="AH264" i="2"/>
  <c r="AI264" i="2" s="1"/>
  <c r="AO264" i="2" s="1"/>
  <c r="AI282" i="2"/>
  <c r="AO282" i="2" s="1"/>
  <c r="AI266" i="2"/>
  <c r="AO266" i="2" s="1"/>
  <c r="AH237" i="2"/>
  <c r="AI237" i="2" s="1"/>
  <c r="AI281" i="2"/>
  <c r="AO281" i="2" s="1"/>
  <c r="AI291" i="2"/>
  <c r="AO291" i="2" s="1"/>
  <c r="AI199" i="2"/>
  <c r="AO199" i="2" s="1"/>
  <c r="AI247" i="2"/>
  <c r="AO247" i="2" s="1"/>
  <c r="AI244" i="2"/>
  <c r="AO244" i="2" s="1"/>
  <c r="AI255" i="2"/>
  <c r="AO255" i="2" s="1"/>
  <c r="AI218" i="2"/>
  <c r="AO218" i="2" s="1"/>
  <c r="AI240" i="2"/>
  <c r="AO240" i="2" s="1"/>
  <c r="AH273" i="2"/>
  <c r="AI273" i="2" s="1"/>
  <c r="AO273" i="2" s="1"/>
  <c r="AH238" i="2"/>
  <c r="AI238" i="2" s="1"/>
  <c r="AI274" i="2"/>
  <c r="AO274" i="2" s="1"/>
  <c r="AH192" i="2"/>
  <c r="AI192" i="2" s="1"/>
  <c r="AH213" i="2"/>
  <c r="AI213" i="2" s="1"/>
  <c r="AO213" i="2" s="1"/>
  <c r="AY123" i="2"/>
  <c r="BF146" i="2"/>
  <c r="BF176" i="2"/>
  <c r="AX176" i="2"/>
  <c r="BE176" i="2"/>
  <c r="AR176" i="2"/>
  <c r="BD176" i="2"/>
  <c r="BC176" i="2"/>
  <c r="BA176" i="2"/>
  <c r="AY176" i="2"/>
  <c r="AQ176" i="2"/>
  <c r="AW176" i="2" s="1"/>
  <c r="BB176" i="2"/>
  <c r="AP176" i="2"/>
  <c r="AV176" i="2" s="1"/>
  <c r="AQ117" i="2"/>
  <c r="AW117" i="2" s="1"/>
  <c r="BA117" i="2"/>
  <c r="BF117" i="2"/>
  <c r="AY117" i="2"/>
  <c r="BC117" i="2"/>
  <c r="AP117" i="2"/>
  <c r="AV117" i="2" s="1"/>
  <c r="BE117" i="2"/>
  <c r="AX117" i="2"/>
  <c r="BD117" i="2"/>
  <c r="AR117" i="2"/>
  <c r="BB117" i="2"/>
  <c r="BB300" i="2"/>
  <c r="BA300" i="2"/>
  <c r="BD300" i="2"/>
  <c r="AY300" i="2"/>
  <c r="BE300" i="2"/>
  <c r="AX300" i="2"/>
  <c r="AQ300" i="2"/>
  <c r="AW300" i="2" s="1"/>
  <c r="BF300" i="2"/>
  <c r="AP300" i="2"/>
  <c r="AV300" i="2" s="1"/>
  <c r="BC300" i="2"/>
  <c r="AR300" i="2"/>
  <c r="BA123" i="2"/>
  <c r="BD123" i="2"/>
  <c r="BE123" i="2"/>
  <c r="BE301" i="2"/>
  <c r="AY301" i="2"/>
  <c r="AX301" i="2"/>
  <c r="BD301" i="2"/>
  <c r="AQ301" i="2"/>
  <c r="AW301" i="2" s="1"/>
  <c r="BC301" i="2"/>
  <c r="AR301" i="2"/>
  <c r="BB301" i="2"/>
  <c r="AP301" i="2"/>
  <c r="AV301" i="2" s="1"/>
  <c r="BA301" i="2"/>
  <c r="BF301" i="2"/>
  <c r="BC72" i="2"/>
  <c r="AP72" i="2"/>
  <c r="AV72" i="2" s="1"/>
  <c r="BB72" i="2"/>
  <c r="AX72" i="2"/>
  <c r="BE72" i="2"/>
  <c r="BA72" i="2"/>
  <c r="AQ72" i="2"/>
  <c r="AW72" i="2" s="1"/>
  <c r="AY72" i="2"/>
  <c r="BF72" i="2"/>
  <c r="AR72" i="2"/>
  <c r="BD72" i="2"/>
  <c r="D26" i="4"/>
  <c r="M309" i="2"/>
  <c r="AU8" i="2"/>
  <c r="AQ306" i="2"/>
  <c r="AW306" i="2" s="1"/>
  <c r="AU90" i="2"/>
  <c r="AQ194" i="2"/>
  <c r="AW194" i="2" s="1"/>
  <c r="AQ232" i="2"/>
  <c r="AW232" i="2" s="1"/>
  <c r="AQ215" i="2"/>
  <c r="AW215" i="2" s="1"/>
  <c r="AQ46" i="2"/>
  <c r="AW46" i="2" s="1"/>
  <c r="AQ294" i="2"/>
  <c r="AW294" i="2" s="1"/>
  <c r="AZ326" i="2"/>
  <c r="AQ307" i="2"/>
  <c r="AW307" i="2" s="1"/>
  <c r="AQ47" i="2"/>
  <c r="AW47" i="2" s="1"/>
  <c r="AZ190" i="2"/>
  <c r="BF194" i="2"/>
  <c r="BE194" i="2"/>
  <c r="BD194" i="2"/>
  <c r="BB194" i="2"/>
  <c r="BC194" i="2"/>
  <c r="BA194" i="2"/>
  <c r="BF232" i="2"/>
  <c r="BE232" i="2"/>
  <c r="BD232" i="2"/>
  <c r="BC232" i="2"/>
  <c r="BA232" i="2"/>
  <c r="BB232" i="2"/>
  <c r="BF233" i="2"/>
  <c r="BF215" i="2"/>
  <c r="BE215" i="2"/>
  <c r="BD215" i="2"/>
  <c r="BC215" i="2"/>
  <c r="BB215" i="2"/>
  <c r="BA215" i="2"/>
  <c r="BB277" i="2"/>
  <c r="AR307" i="2"/>
  <c r="BF307" i="2"/>
  <c r="BE307" i="2"/>
  <c r="BD307" i="2"/>
  <c r="BC307" i="2"/>
  <c r="BB307" i="2"/>
  <c r="BA307" i="2"/>
  <c r="BF47" i="2"/>
  <c r="BE47" i="2"/>
  <c r="BD47" i="2"/>
  <c r="BB47" i="2"/>
  <c r="BC47" i="2"/>
  <c r="BA47" i="2"/>
  <c r="BF46" i="2"/>
  <c r="BE46" i="2"/>
  <c r="BD46" i="2"/>
  <c r="BC46" i="2"/>
  <c r="BB46" i="2"/>
  <c r="BA46" i="2"/>
  <c r="BF294" i="2"/>
  <c r="BE294" i="2"/>
  <c r="BD294" i="2"/>
  <c r="BB294" i="2"/>
  <c r="BC294" i="2"/>
  <c r="BA294" i="2"/>
  <c r="BF306" i="2"/>
  <c r="BE306" i="2"/>
  <c r="BD306" i="2"/>
  <c r="BB306" i="2"/>
  <c r="BC306" i="2"/>
  <c r="BA306" i="2"/>
  <c r="BE203" i="2"/>
  <c r="BD203" i="2"/>
  <c r="Y6" i="3"/>
  <c r="X6" i="3"/>
  <c r="U17" i="3"/>
  <c r="AY46" i="2"/>
  <c r="AX46" i="2"/>
  <c r="X19" i="3"/>
  <c r="X14" i="3"/>
  <c r="Y19" i="3"/>
  <c r="AZ156" i="2"/>
  <c r="T17" i="3"/>
  <c r="Y14" i="3"/>
  <c r="W17" i="3"/>
  <c r="V17" i="3"/>
  <c r="Q17" i="3"/>
  <c r="R17" i="3"/>
  <c r="T20" i="3"/>
  <c r="AP46" i="2"/>
  <c r="AV46" i="2" s="1"/>
  <c r="AR46" i="2"/>
  <c r="AZ179" i="2"/>
  <c r="AZ170" i="2"/>
  <c r="Y18" i="3"/>
  <c r="S20" i="3"/>
  <c r="X18" i="3"/>
  <c r="V20" i="3"/>
  <c r="U20" i="3"/>
  <c r="W20" i="3"/>
  <c r="Q20" i="3"/>
  <c r="AZ13" i="2"/>
  <c r="AP47" i="2"/>
  <c r="AV47" i="2" s="1"/>
  <c r="AZ163" i="2"/>
  <c r="AY47" i="2"/>
  <c r="AR47" i="2"/>
  <c r="AX47" i="2"/>
  <c r="AZ48" i="2"/>
  <c r="AU79" i="2"/>
  <c r="AU145" i="2"/>
  <c r="AZ87" i="2"/>
  <c r="AU150" i="2"/>
  <c r="AU59" i="2"/>
  <c r="AZ63" i="2"/>
  <c r="AZ59" i="2"/>
  <c r="AZ184" i="2"/>
  <c r="AU324" i="2"/>
  <c r="K27" i="4"/>
  <c r="AU120" i="2"/>
  <c r="AU132" i="2"/>
  <c r="AZ174" i="2"/>
  <c r="AZ188" i="2"/>
  <c r="AZ92" i="2"/>
  <c r="AU118" i="2"/>
  <c r="AU56" i="2"/>
  <c r="AU53" i="2"/>
  <c r="AU67" i="2"/>
  <c r="AZ119" i="2"/>
  <c r="AZ41" i="2"/>
  <c r="AZ64" i="2"/>
  <c r="AZ49" i="2"/>
  <c r="AU32" i="2"/>
  <c r="AU125" i="2"/>
  <c r="AU159" i="2"/>
  <c r="AU143" i="2"/>
  <c r="AU33" i="2"/>
  <c r="G27" i="4"/>
  <c r="AZ138" i="2"/>
  <c r="AU31" i="2"/>
  <c r="AU177" i="2"/>
  <c r="AU100" i="2"/>
  <c r="AZ32" i="2"/>
  <c r="AZ135" i="2"/>
  <c r="AZ55" i="2"/>
  <c r="AU325" i="2"/>
  <c r="AU133" i="2"/>
  <c r="AZ102" i="2"/>
  <c r="AZ167" i="2"/>
  <c r="AU50" i="2"/>
  <c r="AU74" i="2"/>
  <c r="AZ127" i="2"/>
  <c r="AZ34" i="2"/>
  <c r="AZ85" i="2"/>
  <c r="AZ115" i="2"/>
  <c r="AU95" i="2"/>
  <c r="AZ44" i="2"/>
  <c r="AZ173" i="2"/>
  <c r="AU173" i="2"/>
  <c r="AZ189" i="2"/>
  <c r="AU172" i="2"/>
  <c r="AU112" i="2"/>
  <c r="AZ31" i="2"/>
  <c r="AU21" i="2"/>
  <c r="AZ74" i="2"/>
  <c r="AU163" i="2"/>
  <c r="AZ16" i="2"/>
  <c r="AU92" i="2"/>
  <c r="AU127" i="2"/>
  <c r="AU83" i="2"/>
  <c r="AU122" i="2"/>
  <c r="AZ39" i="2"/>
  <c r="AZ126" i="2"/>
  <c r="AZ120" i="2"/>
  <c r="AZ321" i="2"/>
  <c r="AZ325" i="2"/>
  <c r="AU78" i="2"/>
  <c r="AU189" i="2"/>
  <c r="AZ187" i="2"/>
  <c r="AZ24" i="2"/>
  <c r="AZ159" i="2"/>
  <c r="AZ53" i="2"/>
  <c r="AU157" i="2"/>
  <c r="AZ143" i="2"/>
  <c r="AZ121" i="2"/>
  <c r="AZ78" i="2"/>
  <c r="AU102" i="2"/>
  <c r="AU48" i="2"/>
  <c r="AZ169" i="2"/>
  <c r="AZ27" i="2"/>
  <c r="AU104" i="2"/>
  <c r="AU174" i="2"/>
  <c r="AU82" i="2"/>
  <c r="AZ165" i="2"/>
  <c r="AZ125" i="2"/>
  <c r="AZ95" i="2"/>
  <c r="AZ172" i="2"/>
  <c r="AZ50" i="2"/>
  <c r="AU85" i="2"/>
  <c r="AU165" i="2"/>
  <c r="AU305" i="2"/>
  <c r="AU139" i="2"/>
  <c r="AU49" i="2"/>
  <c r="AU75" i="2"/>
  <c r="AU167" i="2"/>
  <c r="AZ45" i="2"/>
  <c r="AZ70" i="2"/>
  <c r="AU19" i="2"/>
  <c r="AU73" i="2"/>
  <c r="AZ104" i="2"/>
  <c r="AU91" i="2"/>
  <c r="AZ98" i="2"/>
  <c r="AZ145" i="2"/>
  <c r="AZ73" i="2"/>
  <c r="AU24" i="2"/>
  <c r="AU14" i="2"/>
  <c r="AZ90" i="2"/>
  <c r="AZ166" i="2"/>
  <c r="AU103" i="2"/>
  <c r="AZ56" i="2"/>
  <c r="AU134" i="2"/>
  <c r="AU96" i="2"/>
  <c r="AZ302" i="2"/>
  <c r="AZ150" i="2"/>
  <c r="AZ67" i="2"/>
  <c r="AZ79" i="2"/>
  <c r="AU326" i="2"/>
  <c r="AU64" i="2"/>
  <c r="AZ134" i="2"/>
  <c r="AU63" i="2"/>
  <c r="AU44" i="2"/>
  <c r="AU138" i="2"/>
  <c r="AU80" i="2"/>
  <c r="AU97" i="2"/>
  <c r="AU115" i="2"/>
  <c r="AU170" i="2"/>
  <c r="K8" i="4"/>
  <c r="AU88" i="2"/>
  <c r="AU54" i="2"/>
  <c r="AZ151" i="2"/>
  <c r="AZ175" i="2"/>
  <c r="AZ88" i="2"/>
  <c r="AZ97" i="2"/>
  <c r="AZ15" i="2"/>
  <c r="AZ18" i="2"/>
  <c r="AZ61" i="2"/>
  <c r="AZ82" i="2"/>
  <c r="AU34" i="2"/>
  <c r="AU18" i="2"/>
  <c r="AU169" i="2"/>
  <c r="AU302" i="2"/>
  <c r="AZ80" i="2"/>
  <c r="AZ171" i="2"/>
  <c r="AU13" i="2"/>
  <c r="AU124" i="2"/>
  <c r="AU121" i="2"/>
  <c r="AZ100" i="2"/>
  <c r="AZ136" i="2"/>
  <c r="AU30" i="2"/>
  <c r="AU77" i="2"/>
  <c r="AZ322" i="2"/>
  <c r="AU322" i="2"/>
  <c r="AZ10" i="2"/>
  <c r="AZ19" i="2"/>
  <c r="AZ105" i="2"/>
  <c r="AU168" i="2"/>
  <c r="AZ116" i="2"/>
  <c r="AZ153" i="2"/>
  <c r="AU151" i="2"/>
  <c r="AZ133" i="2"/>
  <c r="AZ152" i="2"/>
  <c r="AZ96" i="2"/>
  <c r="AZ132" i="2"/>
  <c r="AU61" i="2"/>
  <c r="AU187" i="2"/>
  <c r="AZ103" i="2"/>
  <c r="AU16" i="2"/>
  <c r="AU181" i="2"/>
  <c r="AZ86" i="2"/>
  <c r="AU161" i="2"/>
  <c r="AZ66" i="2"/>
  <c r="AZ57" i="2"/>
  <c r="AZ36" i="2"/>
  <c r="AZ33" i="2"/>
  <c r="AZ177" i="2"/>
  <c r="AU321" i="2"/>
  <c r="AU101" i="2"/>
  <c r="AZ75" i="2"/>
  <c r="AU39" i="2"/>
  <c r="AZ43" i="2"/>
  <c r="AU71" i="2"/>
  <c r="AU45" i="2"/>
  <c r="AZ84" i="2"/>
  <c r="AU190" i="2"/>
  <c r="AU57" i="2"/>
  <c r="AZ112" i="2"/>
  <c r="AZ89" i="2"/>
  <c r="AZ101" i="2"/>
  <c r="AU15" i="2"/>
  <c r="AU84" i="2"/>
  <c r="AU41" i="2"/>
  <c r="AZ137" i="2"/>
  <c r="AU105" i="2"/>
  <c r="AZ157" i="2"/>
  <c r="AU87" i="2"/>
  <c r="AU119" i="2"/>
  <c r="AU89" i="2"/>
  <c r="AZ324" i="2"/>
  <c r="AZ118" i="2"/>
  <c r="AZ161" i="2"/>
  <c r="AU10" i="2"/>
  <c r="AP307" i="2"/>
  <c r="AV307" i="2" s="1"/>
  <c r="AU42" i="2"/>
  <c r="AZ124" i="2"/>
  <c r="AZ9" i="2"/>
  <c r="AX307" i="2"/>
  <c r="AU36" i="2"/>
  <c r="AU147" i="2"/>
  <c r="AY307" i="2"/>
  <c r="AU128" i="2"/>
  <c r="AZ149" i="2"/>
  <c r="AU129" i="2"/>
  <c r="AZ30" i="2"/>
  <c r="AU180" i="2"/>
  <c r="AU55" i="2"/>
  <c r="AZ71" i="2"/>
  <c r="AU152" i="2"/>
  <c r="AZ141" i="2"/>
  <c r="AU26" i="2"/>
  <c r="AU166" i="2"/>
  <c r="AZ28" i="2"/>
  <c r="AU116" i="2"/>
  <c r="AZ181" i="2"/>
  <c r="AZ93" i="2"/>
  <c r="AZ42" i="2"/>
  <c r="AU179" i="2"/>
  <c r="AU108" i="2"/>
  <c r="AU66" i="2"/>
  <c r="AU160" i="2"/>
  <c r="AZ76" i="2"/>
  <c r="AU141" i="2"/>
  <c r="AU175" i="2"/>
  <c r="AZ180" i="2"/>
  <c r="AU188" i="2"/>
  <c r="AU106" i="2"/>
  <c r="AZ26" i="2"/>
  <c r="AZ81" i="2"/>
  <c r="AZ106" i="2"/>
  <c r="AZ160" i="2"/>
  <c r="AU86" i="2"/>
  <c r="AU93" i="2"/>
  <c r="AZ94" i="2"/>
  <c r="AZ182" i="2"/>
  <c r="AU20" i="2"/>
  <c r="AR306" i="2"/>
  <c r="AX306" i="2"/>
  <c r="AY306" i="2"/>
  <c r="AP306" i="2"/>
  <c r="AU94" i="2"/>
  <c r="AZ108" i="2"/>
  <c r="AU38" i="2"/>
  <c r="AZ128" i="2"/>
  <c r="AZ178" i="2"/>
  <c r="AZ68" i="2"/>
  <c r="AZ29" i="2"/>
  <c r="AZ183" i="2"/>
  <c r="AU29" i="2"/>
  <c r="AZ122" i="2"/>
  <c r="AU149" i="2"/>
  <c r="AZ52" i="2"/>
  <c r="AZ147" i="2"/>
  <c r="AZ23" i="2"/>
  <c r="AZ139" i="2"/>
  <c r="AZ107" i="2"/>
  <c r="AZ303" i="2"/>
  <c r="AU23" i="2"/>
  <c r="AZ131" i="2"/>
  <c r="AZ77" i="2"/>
  <c r="AZ305" i="2"/>
  <c r="AU136" i="2"/>
  <c r="AU40" i="2"/>
  <c r="AU303" i="2"/>
  <c r="AU52" i="2"/>
  <c r="AZ69" i="2"/>
  <c r="AZ185" i="2"/>
  <c r="AU183" i="2"/>
  <c r="AU11" i="2"/>
  <c r="AZ11" i="2"/>
  <c r="AZ58" i="2"/>
  <c r="AU144" i="2"/>
  <c r="AU107" i="2"/>
  <c r="AZ168" i="2"/>
  <c r="AU126" i="2"/>
  <c r="AU153" i="2"/>
  <c r="G8" i="4"/>
  <c r="K10" i="4"/>
  <c r="K19" i="4" s="1"/>
  <c r="AZ8" i="2"/>
  <c r="AU70" i="2"/>
  <c r="AU137" i="2"/>
  <c r="AU148" i="2"/>
  <c r="AU62" i="2"/>
  <c r="AZ140" i="2"/>
  <c r="AU135" i="2"/>
  <c r="AZ21" i="2"/>
  <c r="AU156" i="2"/>
  <c r="AU76" i="2"/>
  <c r="AU12" i="2"/>
  <c r="AU140" i="2"/>
  <c r="AZ12" i="2"/>
  <c r="AZ148" i="2"/>
  <c r="AU17" i="2"/>
  <c r="G25" i="4"/>
  <c r="AU81" i="2"/>
  <c r="K25" i="4"/>
  <c r="AZ60" i="2"/>
  <c r="AU25" i="2"/>
  <c r="AZ38" i="2"/>
  <c r="AZ54" i="2"/>
  <c r="AU171" i="2"/>
  <c r="AU184" i="2"/>
  <c r="AZ14" i="2"/>
  <c r="AU98" i="2"/>
  <c r="AZ129" i="2"/>
  <c r="AU58" i="2"/>
  <c r="AU68" i="2"/>
  <c r="AU178" i="2"/>
  <c r="AZ40" i="2"/>
  <c r="AU131" i="2"/>
  <c r="AU9" i="2"/>
  <c r="AZ25" i="2"/>
  <c r="AU60" i="2"/>
  <c r="AU142" i="2"/>
  <c r="AZ323" i="2"/>
  <c r="AU22" i="2"/>
  <c r="AZ17" i="2"/>
  <c r="AU69" i="2"/>
  <c r="G29" i="4"/>
  <c r="AZ111" i="2"/>
  <c r="E29" i="4"/>
  <c r="AZ83" i="2"/>
  <c r="AZ22" i="2"/>
  <c r="AU27" i="2"/>
  <c r="AZ110" i="2"/>
  <c r="AU43" i="2"/>
  <c r="AZ91" i="2"/>
  <c r="AU113" i="2"/>
  <c r="AZ20" i="2"/>
  <c r="AZ144" i="2"/>
  <c r="AZ142" i="2"/>
  <c r="AU111" i="2"/>
  <c r="AZ164" i="2"/>
  <c r="AZ162" i="2"/>
  <c r="I10" i="4"/>
  <c r="AU130" i="2"/>
  <c r="AU110" i="2"/>
  <c r="AZ304" i="2"/>
  <c r="AU35" i="2"/>
  <c r="AZ62" i="2"/>
  <c r="AU164" i="2"/>
  <c r="AU154" i="2"/>
  <c r="AU28" i="2"/>
  <c r="AZ113" i="2"/>
  <c r="AU185" i="2"/>
  <c r="AV99" i="2"/>
  <c r="AZ99" i="2" s="1"/>
  <c r="AU99" i="2"/>
  <c r="AZ35" i="2"/>
  <c r="AZ130" i="2"/>
  <c r="AZ154" i="2"/>
  <c r="G15" i="4"/>
  <c r="I16" i="4"/>
  <c r="I7" i="4"/>
  <c r="E19" i="4"/>
  <c r="K15" i="4"/>
  <c r="I28" i="4"/>
  <c r="K7" i="4"/>
  <c r="AY288" i="2"/>
  <c r="AP288" i="2"/>
  <c r="AV288" i="2" s="1"/>
  <c r="AX215" i="2"/>
  <c r="AR215" i="2"/>
  <c r="AY215" i="2"/>
  <c r="AP215" i="2"/>
  <c r="AV215" i="2" s="1"/>
  <c r="AR194" i="2"/>
  <c r="AY194" i="2"/>
  <c r="AP194" i="2"/>
  <c r="AV194" i="2" s="1"/>
  <c r="AX194" i="2"/>
  <c r="AP294" i="2"/>
  <c r="AV294" i="2" s="1"/>
  <c r="AY294" i="2"/>
  <c r="AX294" i="2"/>
  <c r="AR294" i="2"/>
  <c r="AU323" i="2"/>
  <c r="AY232" i="2"/>
  <c r="AP232" i="2"/>
  <c r="AV232" i="2" s="1"/>
  <c r="AX232" i="2"/>
  <c r="AR232" i="2"/>
  <c r="AU304" i="2"/>
  <c r="AU162" i="2"/>
  <c r="AP233" i="2"/>
  <c r="AV233" i="2" s="1"/>
  <c r="AY287" i="2"/>
  <c r="AC309" i="2"/>
  <c r="N309" i="2"/>
  <c r="AP209" i="2"/>
  <c r="AV209" i="2" s="1"/>
  <c r="AX209" i="2"/>
  <c r="E311" i="2"/>
  <c r="F310" i="2"/>
  <c r="AY276" i="2"/>
  <c r="AU182" i="2"/>
  <c r="AP276" i="2" l="1"/>
  <c r="AV276" i="2" s="1"/>
  <c r="BF290" i="2"/>
  <c r="BA276" i="2"/>
  <c r="AY291" i="2"/>
  <c r="BF276" i="2"/>
  <c r="AX287" i="2"/>
  <c r="AY217" i="2"/>
  <c r="AX290" i="2"/>
  <c r="BC290" i="2"/>
  <c r="AX258" i="2"/>
  <c r="AP217" i="2"/>
  <c r="AV217" i="2" s="1"/>
  <c r="AP290" i="2"/>
  <c r="AV290" i="2" s="1"/>
  <c r="AP214" i="2"/>
  <c r="AV214" i="2" s="1"/>
  <c r="BB290" i="2"/>
  <c r="BA258" i="2"/>
  <c r="AR217" i="2"/>
  <c r="AR287" i="2"/>
  <c r="AY290" i="2"/>
  <c r="AY214" i="2"/>
  <c r="BA214" i="2"/>
  <c r="BD290" i="2"/>
  <c r="BB258" i="2"/>
  <c r="BA217" i="2"/>
  <c r="AR258" i="2"/>
  <c r="AP258" i="2"/>
  <c r="AV258" i="2" s="1"/>
  <c r="AY258" i="2"/>
  <c r="AR274" i="2"/>
  <c r="AP287" i="2"/>
  <c r="AV287" i="2" s="1"/>
  <c r="BE287" i="2"/>
  <c r="BC214" i="2"/>
  <c r="BE290" i="2"/>
  <c r="BE258" i="2"/>
  <c r="AR276" i="2"/>
  <c r="BD276" i="2"/>
  <c r="BE217" i="2"/>
  <c r="AY196" i="2"/>
  <c r="AX276" i="2"/>
  <c r="AR290" i="2"/>
  <c r="BA290" i="2"/>
  <c r="BD217" i="2"/>
  <c r="AP275" i="2"/>
  <c r="AV275" i="2" s="1"/>
  <c r="AY275" i="2"/>
  <c r="BF274" i="2"/>
  <c r="AU114" i="2"/>
  <c r="AQ250" i="2"/>
  <c r="AW250" i="2" s="1"/>
  <c r="AY211" i="2"/>
  <c r="AR234" i="2"/>
  <c r="BC217" i="2"/>
  <c r="BB214" i="2"/>
  <c r="AQ217" i="2"/>
  <c r="AW217" i="2" s="1"/>
  <c r="BA205" i="2"/>
  <c r="AP262" i="2"/>
  <c r="AV262" i="2" s="1"/>
  <c r="BF287" i="2"/>
  <c r="AQ274" i="2"/>
  <c r="AW274" i="2" s="1"/>
  <c r="BF282" i="2"/>
  <c r="AY262" i="2"/>
  <c r="AY250" i="2"/>
  <c r="BB255" i="2"/>
  <c r="AR282" i="2"/>
  <c r="BD262" i="2"/>
  <c r="BE282" i="2"/>
  <c r="BD258" i="2"/>
  <c r="AX274" i="2"/>
  <c r="BB287" i="2"/>
  <c r="BB276" i="2"/>
  <c r="BF258" i="2"/>
  <c r="AQ276" i="2"/>
  <c r="AW276" i="2" s="1"/>
  <c r="BC287" i="2"/>
  <c r="BC276" i="2"/>
  <c r="AQ290" i="2"/>
  <c r="AW290" i="2" s="1"/>
  <c r="AQ258" i="2"/>
  <c r="AW258" i="2" s="1"/>
  <c r="AP274" i="2"/>
  <c r="AV274" i="2" s="1"/>
  <c r="AY274" i="2"/>
  <c r="BD287" i="2"/>
  <c r="BE276" i="2"/>
  <c r="BC258" i="2"/>
  <c r="BC274" i="2"/>
  <c r="BC211" i="2"/>
  <c r="AY234" i="2"/>
  <c r="BB274" i="2"/>
  <c r="AQ260" i="2"/>
  <c r="AW260" i="2" s="1"/>
  <c r="AP239" i="2"/>
  <c r="AV239" i="2" s="1"/>
  <c r="AP205" i="2"/>
  <c r="AV205" i="2" s="1"/>
  <c r="BD214" i="2"/>
  <c r="AQ205" i="2"/>
  <c r="AW205" i="2" s="1"/>
  <c r="AQ239" i="2"/>
  <c r="AW239" i="2" s="1"/>
  <c r="AY279" i="2"/>
  <c r="AX214" i="2"/>
  <c r="BE214" i="2"/>
  <c r="BB275" i="2"/>
  <c r="BB217" i="2"/>
  <c r="BF234" i="2"/>
  <c r="BD220" i="2"/>
  <c r="BF214" i="2"/>
  <c r="BB239" i="2"/>
  <c r="BC279" i="2"/>
  <c r="AX217" i="2"/>
  <c r="AR214" i="2"/>
  <c r="BF217" i="2"/>
  <c r="BB209" i="2"/>
  <c r="AQ214" i="2"/>
  <c r="AW214" i="2" s="1"/>
  <c r="BB289" i="2"/>
  <c r="AX234" i="2"/>
  <c r="AX279" i="2"/>
  <c r="BD279" i="2"/>
  <c r="BC205" i="2"/>
  <c r="BC239" i="2"/>
  <c r="AQ279" i="2"/>
  <c r="AW279" i="2" s="1"/>
  <c r="BE279" i="2"/>
  <c r="BD205" i="2"/>
  <c r="BD239" i="2"/>
  <c r="AQ234" i="2"/>
  <c r="AW234" i="2" s="1"/>
  <c r="AR205" i="2"/>
  <c r="AR239" i="2"/>
  <c r="AX205" i="2"/>
  <c r="AX239" i="2"/>
  <c r="BF279" i="2"/>
  <c r="BE205" i="2"/>
  <c r="BE239" i="2"/>
  <c r="BA234" i="2"/>
  <c r="BF205" i="2"/>
  <c r="BF239" i="2"/>
  <c r="BC234" i="2"/>
  <c r="AY205" i="2"/>
  <c r="AY239" i="2"/>
  <c r="BB234" i="2"/>
  <c r="BA279" i="2"/>
  <c r="BD234" i="2"/>
  <c r="AR279" i="2"/>
  <c r="AP234" i="2"/>
  <c r="AV234" i="2" s="1"/>
  <c r="AP279" i="2"/>
  <c r="AV279" i="2" s="1"/>
  <c r="BB279" i="2"/>
  <c r="BB205" i="2"/>
  <c r="BA239" i="2"/>
  <c r="BE234" i="2"/>
  <c r="BC262" i="2"/>
  <c r="AX249" i="2"/>
  <c r="BA287" i="2"/>
  <c r="BA274" i="2"/>
  <c r="BD282" i="2"/>
  <c r="BF250" i="2"/>
  <c r="BB262" i="2"/>
  <c r="AX282" i="2"/>
  <c r="BD274" i="2"/>
  <c r="BC275" i="2"/>
  <c r="BA222" i="2"/>
  <c r="BA250" i="2"/>
  <c r="BF262" i="2"/>
  <c r="AQ262" i="2"/>
  <c r="AW262" i="2" s="1"/>
  <c r="AQ212" i="2"/>
  <c r="AW212" i="2" s="1"/>
  <c r="AR262" i="2"/>
  <c r="AX250" i="2"/>
  <c r="AX262" i="2"/>
  <c r="AP282" i="2"/>
  <c r="AV282" i="2" s="1"/>
  <c r="AP250" i="2"/>
  <c r="AV250" i="2" s="1"/>
  <c r="BE274" i="2"/>
  <c r="BB250" i="2"/>
  <c r="BB223" i="2"/>
  <c r="AQ223" i="2"/>
  <c r="AW223" i="2" s="1"/>
  <c r="AQ275" i="2"/>
  <c r="AW275" i="2" s="1"/>
  <c r="BA282" i="2"/>
  <c r="BC250" i="2"/>
  <c r="AY282" i="2"/>
  <c r="AR250" i="2"/>
  <c r="AU300" i="2"/>
  <c r="BC282" i="2"/>
  <c r="BD250" i="2"/>
  <c r="BA262" i="2"/>
  <c r="AQ287" i="2"/>
  <c r="AW287" i="2" s="1"/>
  <c r="BE262" i="2"/>
  <c r="AY222" i="2"/>
  <c r="AY218" i="2"/>
  <c r="BB282" i="2"/>
  <c r="BE250" i="2"/>
  <c r="BC222" i="2"/>
  <c r="BC218" i="2"/>
  <c r="BD222" i="2"/>
  <c r="BE222" i="2"/>
  <c r="BA212" i="2"/>
  <c r="AQ230" i="2"/>
  <c r="AW230" i="2" s="1"/>
  <c r="AP230" i="2"/>
  <c r="AV230" i="2" s="1"/>
  <c r="AX222" i="2"/>
  <c r="AU186" i="2"/>
  <c r="BF222" i="2"/>
  <c r="BE299" i="2"/>
  <c r="AP222" i="2"/>
  <c r="AV222" i="2" s="1"/>
  <c r="AX299" i="2"/>
  <c r="AR266" i="2"/>
  <c r="AQ299" i="2"/>
  <c r="AW299" i="2" s="1"/>
  <c r="AU65" i="2"/>
  <c r="AZ37" i="2"/>
  <c r="AX212" i="2"/>
  <c r="AR222" i="2"/>
  <c r="BC266" i="2"/>
  <c r="BB222" i="2"/>
  <c r="BF249" i="2"/>
  <c r="AQ222" i="2"/>
  <c r="AW222" i="2" s="1"/>
  <c r="BF231" i="2"/>
  <c r="BC246" i="2"/>
  <c r="AZ114" i="2"/>
  <c r="AU37" i="2"/>
  <c r="BC226" i="2"/>
  <c r="AR226" i="2"/>
  <c r="BB226" i="2"/>
  <c r="BA246" i="2"/>
  <c r="AR209" i="2"/>
  <c r="AR291" i="2"/>
  <c r="AP231" i="2"/>
  <c r="AV231" i="2" s="1"/>
  <c r="AP291" i="2"/>
  <c r="AV291" i="2" s="1"/>
  <c r="AR275" i="2"/>
  <c r="AR231" i="2"/>
  <c r="AP226" i="2"/>
  <c r="AV226" i="2" s="1"/>
  <c r="AX288" i="2"/>
  <c r="AZ158" i="2"/>
  <c r="BC203" i="2"/>
  <c r="BE231" i="2"/>
  <c r="BA275" i="2"/>
  <c r="BD260" i="2"/>
  <c r="BA226" i="2"/>
  <c r="BF291" i="2"/>
  <c r="BB246" i="2"/>
  <c r="AQ246" i="2"/>
  <c r="AW246" i="2" s="1"/>
  <c r="AQ231" i="2"/>
  <c r="AW231" i="2" s="1"/>
  <c r="AY246" i="2"/>
  <c r="AY209" i="2"/>
  <c r="AX203" i="2"/>
  <c r="AR288" i="2"/>
  <c r="AZ65" i="2"/>
  <c r="BF203" i="2"/>
  <c r="BC256" i="2"/>
  <c r="BD275" i="2"/>
  <c r="BA260" i="2"/>
  <c r="BD226" i="2"/>
  <c r="BA291" i="2"/>
  <c r="BD246" i="2"/>
  <c r="AZ109" i="2"/>
  <c r="BA231" i="2"/>
  <c r="BE275" i="2"/>
  <c r="BB260" i="2"/>
  <c r="BE226" i="2"/>
  <c r="BB291" i="2"/>
  <c r="BE246" i="2"/>
  <c r="AY260" i="2"/>
  <c r="AX246" i="2"/>
  <c r="AX231" i="2"/>
  <c r="AY203" i="2"/>
  <c r="AP260" i="2"/>
  <c r="AV260" i="2" s="1"/>
  <c r="BB231" i="2"/>
  <c r="BF275" i="2"/>
  <c r="BC260" i="2"/>
  <c r="BF226" i="2"/>
  <c r="BC291" i="2"/>
  <c r="BF246" i="2"/>
  <c r="AQ203" i="2"/>
  <c r="AW203" i="2" s="1"/>
  <c r="AQ226" i="2"/>
  <c r="AW226" i="2" s="1"/>
  <c r="AZ186" i="2"/>
  <c r="AP246" i="2"/>
  <c r="AV246" i="2" s="1"/>
  <c r="AR246" i="2"/>
  <c r="AR203" i="2"/>
  <c r="AR260" i="2"/>
  <c r="BB203" i="2"/>
  <c r="BC231" i="2"/>
  <c r="BE260" i="2"/>
  <c r="BD291" i="2"/>
  <c r="AQ291" i="2"/>
  <c r="AW291" i="2" s="1"/>
  <c r="AZ123" i="2"/>
  <c r="AX226" i="2"/>
  <c r="AU176" i="2"/>
  <c r="AP203" i="2"/>
  <c r="AV203" i="2" s="1"/>
  <c r="AX291" i="2"/>
  <c r="AX275" i="2"/>
  <c r="AY231" i="2"/>
  <c r="AY226" i="2"/>
  <c r="AX260" i="2"/>
  <c r="BA203" i="2"/>
  <c r="BD231" i="2"/>
  <c r="BF260" i="2"/>
  <c r="BE291" i="2"/>
  <c r="AO237" i="2"/>
  <c r="AY237" i="2"/>
  <c r="BA237" i="2"/>
  <c r="AO257" i="2"/>
  <c r="BF257" i="2"/>
  <c r="AX257" i="2"/>
  <c r="AO280" i="2"/>
  <c r="BE280" i="2"/>
  <c r="BD280" i="2"/>
  <c r="AP280" i="2"/>
  <c r="AV280" i="2" s="1"/>
  <c r="BC280" i="2"/>
  <c r="BB280" i="2"/>
  <c r="AQ280" i="2"/>
  <c r="AW280" i="2" s="1"/>
  <c r="BA280" i="2"/>
  <c r="AR280" i="2"/>
  <c r="AY280" i="2"/>
  <c r="BF280" i="2"/>
  <c r="AX280" i="2"/>
  <c r="AO210" i="2"/>
  <c r="AQ210" i="2"/>
  <c r="AW210" i="2" s="1"/>
  <c r="BA210" i="2"/>
  <c r="AY210" i="2"/>
  <c r="AR210" i="2"/>
  <c r="BC210" i="2"/>
  <c r="AP210" i="2"/>
  <c r="AV210" i="2" s="1"/>
  <c r="AX210" i="2"/>
  <c r="BF210" i="2"/>
  <c r="BE210" i="2"/>
  <c r="BD210" i="2"/>
  <c r="BB210" i="2"/>
  <c r="AO284" i="2"/>
  <c r="AY284" i="2"/>
  <c r="AO272" i="2"/>
  <c r="BA272" i="2"/>
  <c r="AP272" i="2"/>
  <c r="AV272" i="2" s="1"/>
  <c r="AO283" i="2"/>
  <c r="BA283" i="2"/>
  <c r="AX283" i="2"/>
  <c r="AR283" i="2"/>
  <c r="BF283" i="2"/>
  <c r="BE283" i="2"/>
  <c r="BB283" i="2"/>
  <c r="AQ283" i="2"/>
  <c r="AW283" i="2" s="1"/>
  <c r="BD283" i="2"/>
  <c r="AY283" i="2"/>
  <c r="BC283" i="2"/>
  <c r="AP283" i="2"/>
  <c r="AV283" i="2" s="1"/>
  <c r="AP211" i="2"/>
  <c r="AV211" i="2" s="1"/>
  <c r="AR227" i="2"/>
  <c r="AP271" i="2"/>
  <c r="AV271" i="2" s="1"/>
  <c r="BF227" i="2"/>
  <c r="BD244" i="2"/>
  <c r="BA211" i="2"/>
  <c r="AR211" i="2"/>
  <c r="AU155" i="2"/>
  <c r="BF207" i="2"/>
  <c r="BD211" i="2"/>
  <c r="AQ282" i="2"/>
  <c r="AW282" i="2" s="1"/>
  <c r="BD208" i="2"/>
  <c r="AU109" i="2"/>
  <c r="BB227" i="2"/>
  <c r="BE211" i="2"/>
  <c r="AZ51" i="2"/>
  <c r="AZ155" i="2"/>
  <c r="AU123" i="2"/>
  <c r="BA227" i="2"/>
  <c r="BF211" i="2"/>
  <c r="AX227" i="2"/>
  <c r="BC227" i="2"/>
  <c r="BA271" i="2"/>
  <c r="AQ211" i="2"/>
  <c r="AW211" i="2" s="1"/>
  <c r="AP227" i="2"/>
  <c r="AV227" i="2" s="1"/>
  <c r="AR207" i="2"/>
  <c r="BD227" i="2"/>
  <c r="AQ227" i="2"/>
  <c r="AW227" i="2" s="1"/>
  <c r="AX211" i="2"/>
  <c r="AY227" i="2"/>
  <c r="BE227" i="2"/>
  <c r="BB211" i="2"/>
  <c r="AZ176" i="2"/>
  <c r="AZ146" i="2"/>
  <c r="AO235" i="2"/>
  <c r="AQ235" i="2"/>
  <c r="AW235" i="2" s="1"/>
  <c r="BA235" i="2"/>
  <c r="BB235" i="2"/>
  <c r="AR235" i="2"/>
  <c r="AP235" i="2"/>
  <c r="AV235" i="2" s="1"/>
  <c r="AX235" i="2"/>
  <c r="BF235" i="2"/>
  <c r="AY235" i="2"/>
  <c r="BD235" i="2"/>
  <c r="BE235" i="2"/>
  <c r="BC235" i="2"/>
  <c r="AO278" i="2"/>
  <c r="BB278" i="2"/>
  <c r="AP278" i="2"/>
  <c r="AV278" i="2" s="1"/>
  <c r="BC278" i="2"/>
  <c r="AX278" i="2"/>
  <c r="AR278" i="2"/>
  <c r="BA278" i="2"/>
  <c r="BE278" i="2"/>
  <c r="BF278" i="2"/>
  <c r="AQ278" i="2"/>
  <c r="AW278" i="2" s="1"/>
  <c r="BD278" i="2"/>
  <c r="AY278" i="2"/>
  <c r="AO286" i="2"/>
  <c r="BB286" i="2"/>
  <c r="AP286" i="2"/>
  <c r="AV286" i="2" s="1"/>
  <c r="BE286" i="2"/>
  <c r="AR286" i="2"/>
  <c r="AQ286" i="2"/>
  <c r="AW286" i="2" s="1"/>
  <c r="BA286" i="2"/>
  <c r="AX286" i="2"/>
  <c r="BC286" i="2"/>
  <c r="BF286" i="2"/>
  <c r="BD286" i="2"/>
  <c r="AY286" i="2"/>
  <c r="AO202" i="2"/>
  <c r="BD202" i="2"/>
  <c r="BF202" i="2"/>
  <c r="BB202" i="2"/>
  <c r="AQ202" i="2"/>
  <c r="AW202" i="2" s="1"/>
  <c r="BC202" i="2"/>
  <c r="AY202" i="2"/>
  <c r="BA202" i="2"/>
  <c r="AP202" i="2"/>
  <c r="AV202" i="2" s="1"/>
  <c r="AX202" i="2"/>
  <c r="AR202" i="2"/>
  <c r="BE202" i="2"/>
  <c r="AO192" i="2"/>
  <c r="AR192" i="2"/>
  <c r="AY192" i="2"/>
  <c r="AP192" i="2"/>
  <c r="AV192" i="2" s="1"/>
  <c r="BA192" i="2"/>
  <c r="BB192" i="2"/>
  <c r="AX192" i="2"/>
  <c r="AO298" i="2"/>
  <c r="BC298" i="2"/>
  <c r="BA298" i="2"/>
  <c r="AQ298" i="2"/>
  <c r="AW298" i="2" s="1"/>
  <c r="AY298" i="2"/>
  <c r="BF298" i="2"/>
  <c r="AP298" i="2"/>
  <c r="AV298" i="2" s="1"/>
  <c r="AR298" i="2"/>
  <c r="BE298" i="2"/>
  <c r="AX298" i="2"/>
  <c r="BD298" i="2"/>
  <c r="BB298" i="2"/>
  <c r="AO206" i="2"/>
  <c r="BF206" i="2"/>
  <c r="AR206" i="2"/>
  <c r="BE206" i="2"/>
  <c r="AY206" i="2"/>
  <c r="BD206" i="2"/>
  <c r="AP206" i="2"/>
  <c r="AV206" i="2" s="1"/>
  <c r="BA206" i="2"/>
  <c r="AX206" i="2"/>
  <c r="AQ206" i="2"/>
  <c r="AW206" i="2" s="1"/>
  <c r="BB206" i="2"/>
  <c r="BC206" i="2"/>
  <c r="AO198" i="2"/>
  <c r="BC198" i="2"/>
  <c r="AQ198" i="2"/>
  <c r="AW198" i="2" s="1"/>
  <c r="BA198" i="2"/>
  <c r="BB198" i="2"/>
  <c r="AY198" i="2"/>
  <c r="BE198" i="2"/>
  <c r="AP198" i="2"/>
  <c r="AV198" i="2" s="1"/>
  <c r="AX198" i="2"/>
  <c r="BF198" i="2"/>
  <c r="AR198" i="2"/>
  <c r="BD198" i="2"/>
  <c r="AO270" i="2"/>
  <c r="BB270" i="2"/>
  <c r="AQ270" i="2"/>
  <c r="AW270" i="2" s="1"/>
  <c r="BA270" i="2"/>
  <c r="BC270" i="2"/>
  <c r="AX270" i="2"/>
  <c r="AR270" i="2"/>
  <c r="BE270" i="2"/>
  <c r="AY270" i="2"/>
  <c r="BF270" i="2"/>
  <c r="AP270" i="2"/>
  <c r="AV270" i="2" s="1"/>
  <c r="BD270" i="2"/>
  <c r="AO238" i="2"/>
  <c r="BF238" i="2"/>
  <c r="AP238" i="2"/>
  <c r="AV238" i="2" s="1"/>
  <c r="BE238" i="2"/>
  <c r="AY238" i="2"/>
  <c r="AQ238" i="2"/>
  <c r="AW238" i="2" s="1"/>
  <c r="BD238" i="2"/>
  <c r="AR238" i="2"/>
  <c r="BC238" i="2"/>
  <c r="BA238" i="2"/>
  <c r="BB238" i="2"/>
  <c r="AX238" i="2"/>
  <c r="AO204" i="2"/>
  <c r="BA204" i="2"/>
  <c r="AY204" i="2"/>
  <c r="AQ204" i="2"/>
  <c r="AW204" i="2" s="1"/>
  <c r="BD204" i="2"/>
  <c r="BF204" i="2"/>
  <c r="BC204" i="2"/>
  <c r="BE204" i="2"/>
  <c r="AR204" i="2"/>
  <c r="AX204" i="2"/>
  <c r="BB204" i="2"/>
  <c r="AP204" i="2"/>
  <c r="AV204" i="2" s="1"/>
  <c r="AO254" i="2"/>
  <c r="AP254" i="2"/>
  <c r="AV254" i="2" s="1"/>
  <c r="AY254" i="2"/>
  <c r="BF254" i="2"/>
  <c r="BE254" i="2"/>
  <c r="AR254" i="2"/>
  <c r="BD254" i="2"/>
  <c r="BB254" i="2"/>
  <c r="BA254" i="2"/>
  <c r="AX254" i="2"/>
  <c r="AQ254" i="2"/>
  <c r="AW254" i="2" s="1"/>
  <c r="BC254" i="2"/>
  <c r="AO219" i="2"/>
  <c r="AY219" i="2"/>
  <c r="BA219" i="2"/>
  <c r="AP219" i="2"/>
  <c r="AV219" i="2" s="1"/>
  <c r="AR219" i="2"/>
  <c r="BF219" i="2"/>
  <c r="BE219" i="2"/>
  <c r="BD219" i="2"/>
  <c r="AQ219" i="2"/>
  <c r="AW219" i="2" s="1"/>
  <c r="BC219" i="2"/>
  <c r="BB219" i="2"/>
  <c r="AX219" i="2"/>
  <c r="AO295" i="2"/>
  <c r="BD295" i="2"/>
  <c r="AY295" i="2"/>
  <c r="BC295" i="2"/>
  <c r="AP295" i="2"/>
  <c r="AV295" i="2" s="1"/>
  <c r="BB295" i="2"/>
  <c r="AX295" i="2"/>
  <c r="BF295" i="2"/>
  <c r="AQ295" i="2"/>
  <c r="AW295" i="2" s="1"/>
  <c r="BA295" i="2"/>
  <c r="AR295" i="2"/>
  <c r="BE295" i="2"/>
  <c r="AO261" i="2"/>
  <c r="AR261" i="2"/>
  <c r="AY261" i="2"/>
  <c r="AP261" i="2"/>
  <c r="AV261" i="2" s="1"/>
  <c r="BD261" i="2"/>
  <c r="AX261" i="2"/>
  <c r="BC261" i="2"/>
  <c r="AO191" i="2"/>
  <c r="AX191" i="2"/>
  <c r="AO236" i="2"/>
  <c r="BE236" i="2"/>
  <c r="AO252" i="2"/>
  <c r="AX252" i="2"/>
  <c r="AR252" i="2"/>
  <c r="BD252" i="2"/>
  <c r="AY252" i="2"/>
  <c r="BF252" i="2"/>
  <c r="AQ252" i="2"/>
  <c r="AW252" i="2" s="1"/>
  <c r="BE252" i="2"/>
  <c r="BC252" i="2"/>
  <c r="BA252" i="2"/>
  <c r="AP252" i="2"/>
  <c r="AV252" i="2" s="1"/>
  <c r="BB252" i="2"/>
  <c r="AO197" i="2"/>
  <c r="AQ197" i="2"/>
  <c r="AW197" i="2" s="1"/>
  <c r="AO268" i="2"/>
  <c r="AR268" i="2"/>
  <c r="AY268" i="2"/>
  <c r="BC268" i="2"/>
  <c r="AP268" i="2"/>
  <c r="AV268" i="2" s="1"/>
  <c r="BB268" i="2"/>
  <c r="AX268" i="2"/>
  <c r="AO269" i="2"/>
  <c r="BF269" i="2"/>
  <c r="AO242" i="2"/>
  <c r="BD242" i="2"/>
  <c r="AY242" i="2"/>
  <c r="BF242" i="2"/>
  <c r="AQ242" i="2"/>
  <c r="AW242" i="2" s="1"/>
  <c r="BB242" i="2"/>
  <c r="AP242" i="2"/>
  <c r="AV242" i="2" s="1"/>
  <c r="BC242" i="2"/>
  <c r="AX242" i="2"/>
  <c r="BA242" i="2"/>
  <c r="BE242" i="2"/>
  <c r="AR242" i="2"/>
  <c r="AX230" i="2"/>
  <c r="AP284" i="2"/>
  <c r="AV284" i="2" s="1"/>
  <c r="AY212" i="2"/>
  <c r="AP237" i="2"/>
  <c r="AV237" i="2" s="1"/>
  <c r="AY249" i="2"/>
  <c r="AR299" i="2"/>
  <c r="AY266" i="2"/>
  <c r="AU146" i="2"/>
  <c r="BB237" i="2"/>
  <c r="BA266" i="2"/>
  <c r="BF230" i="2"/>
  <c r="BD299" i="2"/>
  <c r="BB249" i="2"/>
  <c r="BA218" i="2"/>
  <c r="BC223" i="2"/>
  <c r="AQ218" i="2"/>
  <c r="AW218" i="2" s="1"/>
  <c r="AQ266" i="2"/>
  <c r="AW266" i="2" s="1"/>
  <c r="AP218" i="2"/>
  <c r="AV218" i="2" s="1"/>
  <c r="BC237" i="2"/>
  <c r="BA284" i="2"/>
  <c r="BB266" i="2"/>
  <c r="BB212" i="2"/>
  <c r="BF299" i="2"/>
  <c r="BD249" i="2"/>
  <c r="BB218" i="2"/>
  <c r="BD223" i="2"/>
  <c r="AH309" i="2"/>
  <c r="AI309" i="2" s="1"/>
  <c r="AO309" i="2" s="1"/>
  <c r="AR212" i="2"/>
  <c r="AR284" i="2"/>
  <c r="AR218" i="2"/>
  <c r="BD237" i="2"/>
  <c r="BB284" i="2"/>
  <c r="BD266" i="2"/>
  <c r="BB230" i="2"/>
  <c r="BC212" i="2"/>
  <c r="BE249" i="2"/>
  <c r="BD218" i="2"/>
  <c r="BE223" i="2"/>
  <c r="AX218" i="2"/>
  <c r="BE237" i="2"/>
  <c r="BC284" i="2"/>
  <c r="BE266" i="2"/>
  <c r="BA230" i="2"/>
  <c r="BE212" i="2"/>
  <c r="BE218" i="2"/>
  <c r="BF223" i="2"/>
  <c r="AY230" i="2"/>
  <c r="AR230" i="2"/>
  <c r="AX223" i="2"/>
  <c r="AP223" i="2"/>
  <c r="AV223" i="2" s="1"/>
  <c r="AU51" i="2"/>
  <c r="BF237" i="2"/>
  <c r="BE284" i="2"/>
  <c r="BF266" i="2"/>
  <c r="BC230" i="2"/>
  <c r="BF212" i="2"/>
  <c r="BA299" i="2"/>
  <c r="BF218" i="2"/>
  <c r="AQ249" i="2"/>
  <c r="AW249" i="2" s="1"/>
  <c r="AZ117" i="2"/>
  <c r="AY223" i="2"/>
  <c r="AR237" i="2"/>
  <c r="AR249" i="2"/>
  <c r="AY299" i="2"/>
  <c r="AX266" i="2"/>
  <c r="BF284" i="2"/>
  <c r="BD230" i="2"/>
  <c r="BD212" i="2"/>
  <c r="BC299" i="2"/>
  <c r="BA249" i="2"/>
  <c r="AQ237" i="2"/>
  <c r="AW237" i="2" s="1"/>
  <c r="AX284" i="2"/>
  <c r="AR223" i="2"/>
  <c r="AP212" i="2"/>
  <c r="AV212" i="2" s="1"/>
  <c r="AX237" i="2"/>
  <c r="AP249" i="2"/>
  <c r="AV249" i="2" s="1"/>
  <c r="AP299" i="2"/>
  <c r="AV299" i="2" s="1"/>
  <c r="AP266" i="2"/>
  <c r="AV266" i="2" s="1"/>
  <c r="BD284" i="2"/>
  <c r="BE230" i="2"/>
  <c r="BB299" i="2"/>
  <c r="BC249" i="2"/>
  <c r="BA223" i="2"/>
  <c r="AQ284" i="2"/>
  <c r="AW284" i="2" s="1"/>
  <c r="AX233" i="2"/>
  <c r="AY207" i="2"/>
  <c r="AX271" i="2"/>
  <c r="AX272" i="2"/>
  <c r="BB272" i="2"/>
  <c r="BA277" i="2"/>
  <c r="BC233" i="2"/>
  <c r="BE207" i="2"/>
  <c r="BB271" i="2"/>
  <c r="BC236" i="2"/>
  <c r="AQ207" i="2"/>
  <c r="AW207" i="2" s="1"/>
  <c r="AZ300" i="2"/>
  <c r="AP191" i="2"/>
  <c r="AV191" i="2" s="1"/>
  <c r="AY233" i="2"/>
  <c r="AX207" i="2"/>
  <c r="AY271" i="2"/>
  <c r="AY272" i="2"/>
  <c r="BC272" i="2"/>
  <c r="BC277" i="2"/>
  <c r="BD233" i="2"/>
  <c r="BA191" i="2"/>
  <c r="BC271" i="2"/>
  <c r="BF236" i="2"/>
  <c r="AQ191" i="2"/>
  <c r="AW191" i="2" s="1"/>
  <c r="AY191" i="2"/>
  <c r="AR233" i="2"/>
  <c r="AP277" i="2"/>
  <c r="AV277" i="2" s="1"/>
  <c r="AR271" i="2"/>
  <c r="AR272" i="2"/>
  <c r="BD272" i="2"/>
  <c r="BD277" i="2"/>
  <c r="BE233" i="2"/>
  <c r="BB191" i="2"/>
  <c r="BE225" i="2"/>
  <c r="BD271" i="2"/>
  <c r="BD236" i="2"/>
  <c r="AQ271" i="2"/>
  <c r="AW271" i="2" s="1"/>
  <c r="AY277" i="2"/>
  <c r="AX236" i="2"/>
  <c r="BE272" i="2"/>
  <c r="BE277" i="2"/>
  <c r="BA207" i="2"/>
  <c r="BC191" i="2"/>
  <c r="BB196" i="2"/>
  <c r="BE271" i="2"/>
  <c r="AQ272" i="2"/>
  <c r="AW272" i="2" s="1"/>
  <c r="AQ236" i="2"/>
  <c r="AW236" i="2" s="1"/>
  <c r="AR191" i="2"/>
  <c r="AR277" i="2"/>
  <c r="AP236" i="2"/>
  <c r="AV236" i="2" s="1"/>
  <c r="BF272" i="2"/>
  <c r="BF277" i="2"/>
  <c r="BB207" i="2"/>
  <c r="BD191" i="2"/>
  <c r="BF271" i="2"/>
  <c r="AX277" i="2"/>
  <c r="AY236" i="2"/>
  <c r="AU117" i="2"/>
  <c r="BB233" i="2"/>
  <c r="BC207" i="2"/>
  <c r="BE191" i="2"/>
  <c r="BA236" i="2"/>
  <c r="AQ277" i="2"/>
  <c r="AW277" i="2" s="1"/>
  <c r="AP207" i="2"/>
  <c r="AV207" i="2" s="1"/>
  <c r="AR236" i="2"/>
  <c r="BA233" i="2"/>
  <c r="BD207" i="2"/>
  <c r="BF191" i="2"/>
  <c r="BB236" i="2"/>
  <c r="AQ192" i="2"/>
  <c r="AW192" i="2" s="1"/>
  <c r="AQ233" i="2"/>
  <c r="AW233" i="2" s="1"/>
  <c r="AP196" i="2"/>
  <c r="AV196" i="2" s="1"/>
  <c r="AP199" i="2"/>
  <c r="AV199" i="2" s="1"/>
  <c r="AX197" i="2"/>
  <c r="AR244" i="2"/>
  <c r="AX196" i="2"/>
  <c r="AP241" i="2"/>
  <c r="AV241" i="2" s="1"/>
  <c r="AY257" i="2"/>
  <c r="BA241" i="2"/>
  <c r="BE255" i="2"/>
  <c r="BB197" i="2"/>
  <c r="BE257" i="2"/>
  <c r="BC199" i="2"/>
  <c r="BE196" i="2"/>
  <c r="AQ257" i="2"/>
  <c r="AW257" i="2" s="1"/>
  <c r="BD257" i="2"/>
  <c r="BC196" i="2"/>
  <c r="AU301" i="2"/>
  <c r="AY199" i="2"/>
  <c r="AR197" i="2"/>
  <c r="AX244" i="2"/>
  <c r="AR196" i="2"/>
  <c r="AY241" i="2"/>
  <c r="AX225" i="2"/>
  <c r="AX220" i="2"/>
  <c r="BC241" i="2"/>
  <c r="BA244" i="2"/>
  <c r="BF255" i="2"/>
  <c r="BA197" i="2"/>
  <c r="BB225" i="2"/>
  <c r="BB199" i="2"/>
  <c r="BF196" i="2"/>
  <c r="BA220" i="2"/>
  <c r="AQ244" i="2"/>
  <c r="AW244" i="2" s="1"/>
  <c r="AQ255" i="2"/>
  <c r="AW255" i="2" s="1"/>
  <c r="AP197" i="2"/>
  <c r="AV197" i="2" s="1"/>
  <c r="AP244" i="2"/>
  <c r="AV244" i="2" s="1"/>
  <c r="AX241" i="2"/>
  <c r="AP225" i="2"/>
  <c r="AV225" i="2" s="1"/>
  <c r="AP220" i="2"/>
  <c r="AV220" i="2" s="1"/>
  <c r="BB241" i="2"/>
  <c r="BB244" i="2"/>
  <c r="BC197" i="2"/>
  <c r="BA225" i="2"/>
  <c r="BD199" i="2"/>
  <c r="BD196" i="2"/>
  <c r="BB220" i="2"/>
  <c r="AQ241" i="2"/>
  <c r="AW241" i="2" s="1"/>
  <c r="AQ268" i="2"/>
  <c r="AW268" i="2" s="1"/>
  <c r="BD255" i="2"/>
  <c r="AR199" i="2"/>
  <c r="AR255" i="2"/>
  <c r="AX199" i="2"/>
  <c r="AY197" i="2"/>
  <c r="AY244" i="2"/>
  <c r="AX255" i="2"/>
  <c r="AY225" i="2"/>
  <c r="AY220" i="2"/>
  <c r="BF241" i="2"/>
  <c r="BC244" i="2"/>
  <c r="BD197" i="2"/>
  <c r="BA257" i="2"/>
  <c r="BC225" i="2"/>
  <c r="BE199" i="2"/>
  <c r="BC220" i="2"/>
  <c r="AQ225" i="2"/>
  <c r="AW225" i="2" s="1"/>
  <c r="AR241" i="2"/>
  <c r="AP257" i="2"/>
  <c r="AV257" i="2" s="1"/>
  <c r="AQ199" i="2"/>
  <c r="AW199" i="2" s="1"/>
  <c r="AP255" i="2"/>
  <c r="AV255" i="2" s="1"/>
  <c r="AR225" i="2"/>
  <c r="AR220" i="2"/>
  <c r="BD241" i="2"/>
  <c r="BE244" i="2"/>
  <c r="BA255" i="2"/>
  <c r="BE197" i="2"/>
  <c r="BC257" i="2"/>
  <c r="BF225" i="2"/>
  <c r="BF199" i="2"/>
  <c r="BE220" i="2"/>
  <c r="AQ196" i="2"/>
  <c r="AW196" i="2" s="1"/>
  <c r="AQ220" i="2"/>
  <c r="AW220" i="2" s="1"/>
  <c r="BA199" i="2"/>
  <c r="AY255" i="2"/>
  <c r="AR257" i="2"/>
  <c r="AU72" i="2"/>
  <c r="BE241" i="2"/>
  <c r="BF244" i="2"/>
  <c r="BC255" i="2"/>
  <c r="BF197" i="2"/>
  <c r="BB257" i="2"/>
  <c r="BD225" i="2"/>
  <c r="BA196" i="2"/>
  <c r="BF220" i="2"/>
  <c r="BA293" i="2"/>
  <c r="AX293" i="2"/>
  <c r="AR293" i="2"/>
  <c r="AY293" i="2"/>
  <c r="AP293" i="2"/>
  <c r="AV293" i="2" s="1"/>
  <c r="BF293" i="2"/>
  <c r="AQ293" i="2"/>
  <c r="AW293" i="2" s="1"/>
  <c r="BE293" i="2"/>
  <c r="BD293" i="2"/>
  <c r="BC293" i="2"/>
  <c r="BB293" i="2"/>
  <c r="AY248" i="2"/>
  <c r="BB248" i="2"/>
  <c r="BC292" i="2"/>
  <c r="AX292" i="2"/>
  <c r="BF292" i="2"/>
  <c r="BF216" i="2"/>
  <c r="AX216" i="2"/>
  <c r="AP216" i="2"/>
  <c r="AV216" i="2" s="1"/>
  <c r="BE216" i="2"/>
  <c r="BD216" i="2"/>
  <c r="AY216" i="2"/>
  <c r="AR216" i="2"/>
  <c r="AQ216" i="2"/>
  <c r="AW216" i="2" s="1"/>
  <c r="BC216" i="2"/>
  <c r="BA216" i="2"/>
  <c r="BB216" i="2"/>
  <c r="BC228" i="2"/>
  <c r="AQ228" i="2"/>
  <c r="AW228" i="2" s="1"/>
  <c r="BF228" i="2"/>
  <c r="AY228" i="2"/>
  <c r="AQ273" i="2"/>
  <c r="AW273" i="2" s="1"/>
  <c r="BA273" i="2"/>
  <c r="BC273" i="2"/>
  <c r="AY273" i="2"/>
  <c r="AP273" i="2"/>
  <c r="AV273" i="2" s="1"/>
  <c r="BE273" i="2"/>
  <c r="AX273" i="2"/>
  <c r="BD273" i="2"/>
  <c r="AR273" i="2"/>
  <c r="BF273" i="2"/>
  <c r="BB273" i="2"/>
  <c r="AQ209" i="2"/>
  <c r="AW209" i="2" s="1"/>
  <c r="AQ261" i="2"/>
  <c r="AW261" i="2" s="1"/>
  <c r="BA208" i="2"/>
  <c r="BA289" i="2"/>
  <c r="BD269" i="2"/>
  <c r="AQ256" i="2"/>
  <c r="AW256" i="2" s="1"/>
  <c r="AQ288" i="2"/>
  <c r="AW288" i="2" s="1"/>
  <c r="BC192" i="2"/>
  <c r="BE268" i="2"/>
  <c r="BB288" i="2"/>
  <c r="BE261" i="2"/>
  <c r="BA209" i="2"/>
  <c r="D24" i="4"/>
  <c r="E24" i="4" s="1"/>
  <c r="BD192" i="2"/>
  <c r="BF268" i="2"/>
  <c r="BA288" i="2"/>
  <c r="BF261" i="2"/>
  <c r="BC209" i="2"/>
  <c r="AZ72" i="2"/>
  <c r="BE192" i="2"/>
  <c r="BD268" i="2"/>
  <c r="BC288" i="2"/>
  <c r="BF209" i="2"/>
  <c r="BF192" i="2"/>
  <c r="BD288" i="2"/>
  <c r="BD209" i="2"/>
  <c r="BE288" i="2"/>
  <c r="BA261" i="2"/>
  <c r="BE209" i="2"/>
  <c r="AZ301" i="2"/>
  <c r="BA268" i="2"/>
  <c r="BF288" i="2"/>
  <c r="BB261" i="2"/>
  <c r="BF240" i="2"/>
  <c r="AP240" i="2"/>
  <c r="AV240" i="2" s="1"/>
  <c r="BE240" i="2"/>
  <c r="AX240" i="2"/>
  <c r="BD240" i="2"/>
  <c r="BC240" i="2"/>
  <c r="BA240" i="2"/>
  <c r="AR240" i="2"/>
  <c r="AQ240" i="2"/>
  <c r="AW240" i="2" s="1"/>
  <c r="BB240" i="2"/>
  <c r="AY240" i="2"/>
  <c r="BB251" i="2"/>
  <c r="BA251" i="2"/>
  <c r="AR251" i="2"/>
  <c r="BD251" i="2"/>
  <c r="AX251" i="2"/>
  <c r="BF251" i="2"/>
  <c r="AP251" i="2"/>
  <c r="AV251" i="2" s="1"/>
  <c r="BE251" i="2"/>
  <c r="BC251" i="2"/>
  <c r="AY251" i="2"/>
  <c r="AQ251" i="2"/>
  <c r="AW251" i="2" s="1"/>
  <c r="BE296" i="2"/>
  <c r="BD296" i="2"/>
  <c r="BC296" i="2"/>
  <c r="AR296" i="2"/>
  <c r="BB296" i="2"/>
  <c r="AP296" i="2"/>
  <c r="AV296" i="2" s="1"/>
  <c r="BA296" i="2"/>
  <c r="AY296" i="2"/>
  <c r="AX296" i="2"/>
  <c r="BF296" i="2"/>
  <c r="AQ296" i="2"/>
  <c r="AW296" i="2" s="1"/>
  <c r="AX281" i="2"/>
  <c r="AR281" i="2"/>
  <c r="AP281" i="2"/>
  <c r="AV281" i="2" s="1"/>
  <c r="BE281" i="2"/>
  <c r="BD281" i="2"/>
  <c r="BF281" i="2"/>
  <c r="AQ281" i="2"/>
  <c r="AW281" i="2" s="1"/>
  <c r="BB281" i="2"/>
  <c r="BC281" i="2"/>
  <c r="BA281" i="2"/>
  <c r="AY281" i="2"/>
  <c r="BD201" i="2"/>
  <c r="AP201" i="2"/>
  <c r="AV201" i="2" s="1"/>
  <c r="BF201" i="2"/>
  <c r="AX201" i="2"/>
  <c r="AR201" i="2"/>
  <c r="BC201" i="2"/>
  <c r="BA201" i="2"/>
  <c r="BB201" i="2"/>
  <c r="BE201" i="2"/>
  <c r="AY201" i="2"/>
  <c r="AQ201" i="2"/>
  <c r="AW201" i="2" s="1"/>
  <c r="BF193" i="2"/>
  <c r="AQ193" i="2"/>
  <c r="AW193" i="2" s="1"/>
  <c r="BC193" i="2"/>
  <c r="AR193" i="2"/>
  <c r="AY193" i="2"/>
  <c r="BA193" i="2"/>
  <c r="BB193" i="2"/>
  <c r="AP193" i="2"/>
  <c r="AV193" i="2" s="1"/>
  <c r="AX193" i="2"/>
  <c r="BE193" i="2"/>
  <c r="BD193" i="2"/>
  <c r="AP263" i="2"/>
  <c r="AV263" i="2" s="1"/>
  <c r="BF263" i="2"/>
  <c r="AX263" i="2"/>
  <c r="AR263" i="2"/>
  <c r="BE263" i="2"/>
  <c r="BD263" i="2"/>
  <c r="AQ263" i="2"/>
  <c r="AW263" i="2" s="1"/>
  <c r="BA263" i="2"/>
  <c r="BB263" i="2"/>
  <c r="AY263" i="2"/>
  <c r="BC263" i="2"/>
  <c r="AX267" i="2"/>
  <c r="AY267" i="2"/>
  <c r="BB267" i="2"/>
  <c r="AP267" i="2"/>
  <c r="AV267" i="2" s="1"/>
  <c r="BF267" i="2"/>
  <c r="BE267" i="2"/>
  <c r="BD267" i="2"/>
  <c r="BC267" i="2"/>
  <c r="AQ267" i="2"/>
  <c r="AW267" i="2" s="1"/>
  <c r="BA267" i="2"/>
  <c r="AR267" i="2"/>
  <c r="AP253" i="2"/>
  <c r="AV253" i="2" s="1"/>
  <c r="AQ253" i="2"/>
  <c r="AW253" i="2" s="1"/>
  <c r="BF253" i="2"/>
  <c r="AX253" i="2"/>
  <c r="BE253" i="2"/>
  <c r="BD253" i="2"/>
  <c r="BC253" i="2"/>
  <c r="BA253" i="2"/>
  <c r="BB253" i="2"/>
  <c r="AR253" i="2"/>
  <c r="AY253" i="2"/>
  <c r="BF200" i="2"/>
  <c r="AP200" i="2"/>
  <c r="AV200" i="2" s="1"/>
  <c r="AR200" i="2"/>
  <c r="AQ200" i="2"/>
  <c r="AW200" i="2" s="1"/>
  <c r="BE200" i="2"/>
  <c r="AY200" i="2"/>
  <c r="BD200" i="2"/>
  <c r="BC200" i="2"/>
  <c r="BA200" i="2"/>
  <c r="BB200" i="2"/>
  <c r="AX200" i="2"/>
  <c r="AQ195" i="2"/>
  <c r="AW195" i="2" s="1"/>
  <c r="BA195" i="2"/>
  <c r="AX195" i="2"/>
  <c r="BB195" i="2"/>
  <c r="AR195" i="2"/>
  <c r="AP195" i="2"/>
  <c r="AV195" i="2" s="1"/>
  <c r="BF195" i="2"/>
  <c r="BE195" i="2"/>
  <c r="BC195" i="2"/>
  <c r="AY195" i="2"/>
  <c r="BD195" i="2"/>
  <c r="BC285" i="2"/>
  <c r="AQ285" i="2"/>
  <c r="AW285" i="2" s="1"/>
  <c r="BB285" i="2"/>
  <c r="BA285" i="2"/>
  <c r="AX285" i="2"/>
  <c r="BE285" i="2"/>
  <c r="AR285" i="2"/>
  <c r="AP285" i="2"/>
  <c r="AV285" i="2" s="1"/>
  <c r="BF285" i="2"/>
  <c r="AY285" i="2"/>
  <c r="BD285" i="2"/>
  <c r="BB264" i="2"/>
  <c r="AX264" i="2"/>
  <c r="BF264" i="2"/>
  <c r="AR264" i="2"/>
  <c r="BE264" i="2"/>
  <c r="AY264" i="2"/>
  <c r="BD264" i="2"/>
  <c r="AP264" i="2"/>
  <c r="AV264" i="2" s="1"/>
  <c r="AQ264" i="2"/>
  <c r="AW264" i="2" s="1"/>
  <c r="BA264" i="2"/>
  <c r="BC264" i="2"/>
  <c r="AQ243" i="2"/>
  <c r="AW243" i="2" s="1"/>
  <c r="BD243" i="2"/>
  <c r="BC243" i="2"/>
  <c r="AR243" i="2"/>
  <c r="AY243" i="2"/>
  <c r="BB243" i="2"/>
  <c r="BA243" i="2"/>
  <c r="AX243" i="2"/>
  <c r="AP243" i="2"/>
  <c r="AV243" i="2" s="1"/>
  <c r="BE243" i="2"/>
  <c r="BF243" i="2"/>
  <c r="BC221" i="2"/>
  <c r="AP221" i="2"/>
  <c r="AV221" i="2" s="1"/>
  <c r="BA221" i="2"/>
  <c r="AX221" i="2"/>
  <c r="AR221" i="2"/>
  <c r="BB221" i="2"/>
  <c r="BF221" i="2"/>
  <c r="AQ221" i="2"/>
  <c r="AW221" i="2" s="1"/>
  <c r="BD221" i="2"/>
  <c r="AY221" i="2"/>
  <c r="BE221" i="2"/>
  <c r="BF213" i="2"/>
  <c r="AR213" i="2"/>
  <c r="BE213" i="2"/>
  <c r="BD213" i="2"/>
  <c r="BC213" i="2"/>
  <c r="AP213" i="2"/>
  <c r="AV213" i="2" s="1"/>
  <c r="AQ213" i="2"/>
  <c r="AW213" i="2" s="1"/>
  <c r="BA213" i="2"/>
  <c r="BB213" i="2"/>
  <c r="AY213" i="2"/>
  <c r="AX213" i="2"/>
  <c r="BE229" i="2"/>
  <c r="BD229" i="2"/>
  <c r="BC229" i="2"/>
  <c r="AY229" i="2"/>
  <c r="BA229" i="2"/>
  <c r="AP229" i="2"/>
  <c r="AV229" i="2" s="1"/>
  <c r="BB229" i="2"/>
  <c r="AX229" i="2"/>
  <c r="AQ229" i="2"/>
  <c r="AW229" i="2" s="1"/>
  <c r="AR229" i="2"/>
  <c r="BF229" i="2"/>
  <c r="BC259" i="2"/>
  <c r="AP259" i="2"/>
  <c r="AV259" i="2" s="1"/>
  <c r="AQ259" i="2"/>
  <c r="AW259" i="2" s="1"/>
  <c r="BB259" i="2"/>
  <c r="AR259" i="2"/>
  <c r="BA259" i="2"/>
  <c r="BE259" i="2"/>
  <c r="AY259" i="2"/>
  <c r="BF259" i="2"/>
  <c r="BD259" i="2"/>
  <c r="AX259" i="2"/>
  <c r="BB265" i="2"/>
  <c r="BC265" i="2"/>
  <c r="BD265" i="2"/>
  <c r="AQ265" i="2"/>
  <c r="AW265" i="2" s="1"/>
  <c r="BA265" i="2"/>
  <c r="AY265" i="2"/>
  <c r="AP265" i="2"/>
  <c r="AV265" i="2" s="1"/>
  <c r="AX265" i="2"/>
  <c r="BE265" i="2"/>
  <c r="AR265" i="2"/>
  <c r="BF265" i="2"/>
  <c r="BF224" i="2"/>
  <c r="AX224" i="2"/>
  <c r="BE224" i="2"/>
  <c r="AR224" i="2"/>
  <c r="AQ224" i="2"/>
  <c r="AW224" i="2" s="1"/>
  <c r="BD224" i="2"/>
  <c r="BC224" i="2"/>
  <c r="BA224" i="2"/>
  <c r="BB224" i="2"/>
  <c r="AP224" i="2"/>
  <c r="AV224" i="2" s="1"/>
  <c r="AY224" i="2"/>
  <c r="BE245" i="2"/>
  <c r="BD245" i="2"/>
  <c r="AR245" i="2"/>
  <c r="BC245" i="2"/>
  <c r="AY245" i="2"/>
  <c r="BB245" i="2"/>
  <c r="AP245" i="2"/>
  <c r="AV245" i="2" s="1"/>
  <c r="AQ245" i="2"/>
  <c r="AW245" i="2" s="1"/>
  <c r="BA245" i="2"/>
  <c r="AX245" i="2"/>
  <c r="BF245" i="2"/>
  <c r="BE297" i="2"/>
  <c r="AX297" i="2"/>
  <c r="BD297" i="2"/>
  <c r="AR297" i="2"/>
  <c r="BF297" i="2"/>
  <c r="AP297" i="2"/>
  <c r="AV297" i="2" s="1"/>
  <c r="AQ297" i="2"/>
  <c r="AW297" i="2" s="1"/>
  <c r="BC297" i="2"/>
  <c r="BB297" i="2"/>
  <c r="AY297" i="2"/>
  <c r="BA297" i="2"/>
  <c r="AQ247" i="2"/>
  <c r="AW247" i="2" s="1"/>
  <c r="BF247" i="2"/>
  <c r="AR247" i="2"/>
  <c r="BE247" i="2"/>
  <c r="BD247" i="2"/>
  <c r="BB247" i="2"/>
  <c r="BC247" i="2"/>
  <c r="BA247" i="2"/>
  <c r="AY247" i="2"/>
  <c r="AP247" i="2"/>
  <c r="AV247" i="2" s="1"/>
  <c r="AX247" i="2"/>
  <c r="AR269" i="2"/>
  <c r="AP228" i="2"/>
  <c r="AV228" i="2" s="1"/>
  <c r="AY292" i="2"/>
  <c r="BE228" i="2"/>
  <c r="BE292" i="2"/>
  <c r="BC289" i="2"/>
  <c r="BB256" i="2"/>
  <c r="BE269" i="2"/>
  <c r="BC208" i="2"/>
  <c r="AQ292" i="2"/>
  <c r="AW292" i="2" s="1"/>
  <c r="AR228" i="2"/>
  <c r="AX208" i="2"/>
  <c r="AP289" i="2"/>
  <c r="AV289" i="2" s="1"/>
  <c r="AX256" i="2"/>
  <c r="BD228" i="2"/>
  <c r="BD292" i="2"/>
  <c r="BF289" i="2"/>
  <c r="BD256" i="2"/>
  <c r="BA248" i="2"/>
  <c r="BE208" i="2"/>
  <c r="AQ208" i="2"/>
  <c r="AW208" i="2" s="1"/>
  <c r="AX248" i="2"/>
  <c r="AP208" i="2"/>
  <c r="AV208" i="2" s="1"/>
  <c r="AX289" i="2"/>
  <c r="AP256" i="2"/>
  <c r="AV256" i="2" s="1"/>
  <c r="BD289" i="2"/>
  <c r="BE256" i="2"/>
  <c r="BC248" i="2"/>
  <c r="BF208" i="2"/>
  <c r="AQ289" i="2"/>
  <c r="AW289" i="2" s="1"/>
  <c r="AP248" i="2"/>
  <c r="AV248" i="2" s="1"/>
  <c r="AY208" i="2"/>
  <c r="AY289" i="2"/>
  <c r="AY256" i="2"/>
  <c r="BE289" i="2"/>
  <c r="BF256" i="2"/>
  <c r="BD248" i="2"/>
  <c r="BA269" i="2"/>
  <c r="AQ248" i="2"/>
  <c r="AW248" i="2" s="1"/>
  <c r="AR208" i="2"/>
  <c r="AR289" i="2"/>
  <c r="AR256" i="2"/>
  <c r="BA228" i="2"/>
  <c r="BA292" i="2"/>
  <c r="BE248" i="2"/>
  <c r="BB269" i="2"/>
  <c r="AP269" i="2"/>
  <c r="AV269" i="2" s="1"/>
  <c r="AR248" i="2"/>
  <c r="AR292" i="2"/>
  <c r="BB228" i="2"/>
  <c r="BB292" i="2"/>
  <c r="BF248" i="2"/>
  <c r="BC269" i="2"/>
  <c r="BB208" i="2"/>
  <c r="AQ269" i="2"/>
  <c r="AW269" i="2" s="1"/>
  <c r="AX269" i="2"/>
  <c r="M310" i="2"/>
  <c r="AY269" i="2"/>
  <c r="AX228" i="2"/>
  <c r="AP292" i="2"/>
  <c r="AV292" i="2" s="1"/>
  <c r="BA256" i="2"/>
  <c r="AQ308" i="2"/>
  <c r="AW308" i="2" s="1"/>
  <c r="BD308" i="2"/>
  <c r="BF308" i="2"/>
  <c r="BE308" i="2"/>
  <c r="BC308" i="2"/>
  <c r="BB308" i="2"/>
  <c r="BA308" i="2"/>
  <c r="AZ46" i="2"/>
  <c r="X17" i="3"/>
  <c r="Y17" i="3"/>
  <c r="Y20" i="3"/>
  <c r="X20" i="3"/>
  <c r="AU46" i="2"/>
  <c r="AU47" i="2"/>
  <c r="AZ47" i="2"/>
  <c r="AP308" i="2"/>
  <c r="AV308" i="2" s="1"/>
  <c r="AR308" i="2"/>
  <c r="AY308" i="2"/>
  <c r="AX308" i="2"/>
  <c r="AZ307" i="2"/>
  <c r="AU307" i="2"/>
  <c r="K29" i="4"/>
  <c r="AV306" i="2"/>
  <c r="AZ306" i="2" s="1"/>
  <c r="AU306" i="2"/>
  <c r="AZ294" i="2"/>
  <c r="AU215" i="2"/>
  <c r="AZ232" i="2"/>
  <c r="AU294" i="2"/>
  <c r="AZ215" i="2"/>
  <c r="AZ194" i="2"/>
  <c r="AC310" i="2"/>
  <c r="N310" i="2"/>
  <c r="F311" i="2"/>
  <c r="E312" i="2"/>
  <c r="AU232" i="2"/>
  <c r="AU194" i="2"/>
  <c r="AU274" i="2" l="1"/>
  <c r="AZ290" i="2"/>
  <c r="AU217" i="2"/>
  <c r="AZ287" i="2"/>
  <c r="AZ276" i="2"/>
  <c r="AZ258" i="2"/>
  <c r="AZ217" i="2"/>
  <c r="AU258" i="2"/>
  <c r="AZ274" i="2"/>
  <c r="AU282" i="2"/>
  <c r="AU250" i="2"/>
  <c r="AU276" i="2"/>
  <c r="AZ299" i="2"/>
  <c r="AZ214" i="2"/>
  <c r="AU239" i="2"/>
  <c r="AU290" i="2"/>
  <c r="AU205" i="2"/>
  <c r="AZ239" i="2"/>
  <c r="AZ205" i="2"/>
  <c r="AZ254" i="2"/>
  <c r="AZ282" i="2"/>
  <c r="AZ250" i="2"/>
  <c r="AZ234" i="2"/>
  <c r="AU287" i="2"/>
  <c r="AU214" i="2"/>
  <c r="AZ266" i="2"/>
  <c r="AZ291" i="2"/>
  <c r="AZ203" i="2"/>
  <c r="AZ222" i="2"/>
  <c r="AZ262" i="2"/>
  <c r="AZ209" i="2"/>
  <c r="AZ270" i="2"/>
  <c r="AZ279" i="2"/>
  <c r="AU234" i="2"/>
  <c r="AU271" i="2"/>
  <c r="AU275" i="2"/>
  <c r="AZ275" i="2"/>
  <c r="AU279" i="2"/>
  <c r="AU291" i="2"/>
  <c r="AU262" i="2"/>
  <c r="AZ235" i="2"/>
  <c r="AZ230" i="2"/>
  <c r="AU231" i="2"/>
  <c r="AU260" i="2"/>
  <c r="AU246" i="2"/>
  <c r="AU268" i="2"/>
  <c r="AU254" i="2"/>
  <c r="AU235" i="2"/>
  <c r="AZ246" i="2"/>
  <c r="AU222" i="2"/>
  <c r="AU245" i="2"/>
  <c r="AZ242" i="2"/>
  <c r="AZ295" i="2"/>
  <c r="AU270" i="2"/>
  <c r="AZ298" i="2"/>
  <c r="AZ280" i="2"/>
  <c r="AZ223" i="2"/>
  <c r="AZ288" i="2"/>
  <c r="AU230" i="2"/>
  <c r="AZ249" i="2"/>
  <c r="AU206" i="2"/>
  <c r="AZ226" i="2"/>
  <c r="AU203" i="2"/>
  <c r="AZ218" i="2"/>
  <c r="AZ238" i="2"/>
  <c r="AZ202" i="2"/>
  <c r="AZ286" i="2"/>
  <c r="AZ283" i="2"/>
  <c r="AZ210" i="2"/>
  <c r="AZ260" i="2"/>
  <c r="AU226" i="2"/>
  <c r="AU202" i="2"/>
  <c r="AZ212" i="2"/>
  <c r="AZ206" i="2"/>
  <c r="AU286" i="2"/>
  <c r="AU295" i="2"/>
  <c r="AU283" i="2"/>
  <c r="AU242" i="2"/>
  <c r="AU209" i="2"/>
  <c r="AU218" i="2"/>
  <c r="AU299" i="2"/>
  <c r="AZ252" i="2"/>
  <c r="AZ219" i="2"/>
  <c r="AZ204" i="2"/>
  <c r="AU238" i="2"/>
  <c r="AZ198" i="2"/>
  <c r="AU298" i="2"/>
  <c r="AZ278" i="2"/>
  <c r="AZ227" i="2"/>
  <c r="AZ211" i="2"/>
  <c r="AZ284" i="2"/>
  <c r="AU212" i="2"/>
  <c r="AU280" i="2"/>
  <c r="AU210" i="2"/>
  <c r="AZ220" i="2"/>
  <c r="AZ271" i="2"/>
  <c r="AU204" i="2"/>
  <c r="AU227" i="2"/>
  <c r="AZ261" i="2"/>
  <c r="AZ207" i="2"/>
  <c r="AZ237" i="2"/>
  <c r="AH310" i="2"/>
  <c r="AI310" i="2" s="1"/>
  <c r="AO310" i="2" s="1"/>
  <c r="AU278" i="2"/>
  <c r="AU211" i="2"/>
  <c r="AZ192" i="2"/>
  <c r="AU252" i="2"/>
  <c r="AU266" i="2"/>
  <c r="AZ197" i="2"/>
  <c r="AU219" i="2"/>
  <c r="AU253" i="2"/>
  <c r="AU284" i="2"/>
  <c r="AU192" i="2"/>
  <c r="AU237" i="2"/>
  <c r="AZ224" i="2"/>
  <c r="AZ268" i="2"/>
  <c r="AZ277" i="2"/>
  <c r="AU249" i="2"/>
  <c r="AU272" i="2"/>
  <c r="AU213" i="2"/>
  <c r="AZ272" i="2"/>
  <c r="AU198" i="2"/>
  <c r="AZ296" i="2"/>
  <c r="AU223" i="2"/>
  <c r="AU241" i="2"/>
  <c r="AZ199" i="2"/>
  <c r="AU277" i="2"/>
  <c r="AZ231" i="2"/>
  <c r="AU247" i="2"/>
  <c r="AU224" i="2"/>
  <c r="AZ259" i="2"/>
  <c r="AU216" i="2"/>
  <c r="AZ196" i="2"/>
  <c r="AZ191" i="2"/>
  <c r="AU297" i="2"/>
  <c r="AZ247" i="2"/>
  <c r="AZ245" i="2"/>
  <c r="AZ233" i="2"/>
  <c r="AU199" i="2"/>
  <c r="AZ273" i="2"/>
  <c r="AZ248" i="2"/>
  <c r="AU255" i="2"/>
  <c r="AZ236" i="2"/>
  <c r="AU244" i="2"/>
  <c r="AU191" i="2"/>
  <c r="AU248" i="2"/>
  <c r="AZ216" i="2"/>
  <c r="AZ255" i="2"/>
  <c r="AU197" i="2"/>
  <c r="AU207" i="2"/>
  <c r="AU196" i="2"/>
  <c r="AZ208" i="2"/>
  <c r="AZ265" i="2"/>
  <c r="AZ221" i="2"/>
  <c r="AZ240" i="2"/>
  <c r="AU292" i="2"/>
  <c r="AU293" i="2"/>
  <c r="AZ244" i="2"/>
  <c r="AZ225" i="2"/>
  <c r="AZ257" i="2"/>
  <c r="AZ241" i="2"/>
  <c r="AZ285" i="2"/>
  <c r="AZ200" i="2"/>
  <c r="AZ253" i="2"/>
  <c r="AZ267" i="2"/>
  <c r="AZ263" i="2"/>
  <c r="AU201" i="2"/>
  <c r="AU195" i="2"/>
  <c r="AU288" i="2"/>
  <c r="AU259" i="2"/>
  <c r="AZ213" i="2"/>
  <c r="AZ243" i="2"/>
  <c r="AU264" i="2"/>
  <c r="AZ201" i="2"/>
  <c r="AU200" i="2"/>
  <c r="AU236" i="2"/>
  <c r="AU233" i="2"/>
  <c r="AU263" i="2"/>
  <c r="AU257" i="2"/>
  <c r="AU256" i="2"/>
  <c r="AZ256" i="2"/>
  <c r="AU228" i="2"/>
  <c r="AZ292" i="2"/>
  <c r="AU265" i="2"/>
  <c r="AZ229" i="2"/>
  <c r="AU285" i="2"/>
  <c r="AZ195" i="2"/>
  <c r="AU267" i="2"/>
  <c r="AZ193" i="2"/>
  <c r="AZ281" i="2"/>
  <c r="AZ251" i="2"/>
  <c r="AU240" i="2"/>
  <c r="AU269" i="2"/>
  <c r="AZ293" i="2"/>
  <c r="AU251" i="2"/>
  <c r="AU229" i="2"/>
  <c r="AU208" i="2"/>
  <c r="AU220" i="2"/>
  <c r="AU261" i="2"/>
  <c r="AZ289" i="2"/>
  <c r="AZ297" i="2"/>
  <c r="AZ264" i="2"/>
  <c r="AU289" i="2"/>
  <c r="AZ228" i="2"/>
  <c r="AU296" i="2"/>
  <c r="AU221" i="2"/>
  <c r="AU225" i="2"/>
  <c r="AU273" i="2"/>
  <c r="AU193" i="2"/>
  <c r="AZ269" i="2"/>
  <c r="AU243" i="2"/>
  <c r="M311" i="2"/>
  <c r="AU281" i="2"/>
  <c r="AQ309" i="2"/>
  <c r="AW309" i="2" s="1"/>
  <c r="AY309" i="2"/>
  <c r="BF309" i="2"/>
  <c r="BE309" i="2"/>
  <c r="BD309" i="2"/>
  <c r="BC309" i="2"/>
  <c r="BB309" i="2"/>
  <c r="BA309" i="2"/>
  <c r="AU308" i="2"/>
  <c r="AZ308" i="2"/>
  <c r="AR309" i="2"/>
  <c r="AP309" i="2"/>
  <c r="AV309" i="2" s="1"/>
  <c r="AX309" i="2"/>
  <c r="F312" i="2"/>
  <c r="E313" i="2"/>
  <c r="AC311" i="2"/>
  <c r="N311" i="2"/>
  <c r="AH311" i="2" l="1"/>
  <c r="AI311" i="2" s="1"/>
  <c r="AO311" i="2" s="1"/>
  <c r="M312" i="2"/>
  <c r="AQ310" i="2"/>
  <c r="AW310" i="2" s="1"/>
  <c r="BF310" i="2"/>
  <c r="BE310" i="2"/>
  <c r="BD310" i="2"/>
  <c r="BB310" i="2"/>
  <c r="BC310" i="2"/>
  <c r="BA310" i="2"/>
  <c r="AZ309" i="2"/>
  <c r="AX310" i="2"/>
  <c r="AY310" i="2"/>
  <c r="AP310" i="2"/>
  <c r="AV310" i="2" s="1"/>
  <c r="AR310" i="2"/>
  <c r="AU309" i="2"/>
  <c r="AC312" i="2"/>
  <c r="N312" i="2"/>
  <c r="E314" i="2"/>
  <c r="F313" i="2"/>
  <c r="AH312" i="2" l="1"/>
  <c r="AI312" i="2" s="1"/>
  <c r="AO312" i="2" s="1"/>
  <c r="M313" i="2"/>
  <c r="AQ311" i="2"/>
  <c r="AW311" i="2" s="1"/>
  <c r="BF311" i="2"/>
  <c r="BE311" i="2"/>
  <c r="BD311" i="2"/>
  <c r="BC311" i="2"/>
  <c r="BB311" i="2"/>
  <c r="BA311" i="2"/>
  <c r="AR311" i="2"/>
  <c r="AU310" i="2"/>
  <c r="AX311" i="2"/>
  <c r="AY311" i="2"/>
  <c r="AP311" i="2"/>
  <c r="AV311" i="2" s="1"/>
  <c r="AZ310" i="2"/>
  <c r="E315" i="2"/>
  <c r="F314" i="2"/>
  <c r="AC313" i="2"/>
  <c r="N313" i="2"/>
  <c r="AH313" i="2" l="1"/>
  <c r="AI313" i="2" s="1"/>
  <c r="AO313" i="2" s="1"/>
  <c r="M314" i="2"/>
  <c r="AQ312" i="2"/>
  <c r="AW312" i="2" s="1"/>
  <c r="AX312" i="2"/>
  <c r="BF312" i="2"/>
  <c r="BE312" i="2"/>
  <c r="BD312" i="2"/>
  <c r="BC312" i="2"/>
  <c r="BB312" i="2"/>
  <c r="BA312" i="2"/>
  <c r="AZ311" i="2"/>
  <c r="AU311" i="2"/>
  <c r="AP312" i="2"/>
  <c r="AV312" i="2" s="1"/>
  <c r="AR312" i="2"/>
  <c r="AY312" i="2"/>
  <c r="F315" i="2"/>
  <c r="E316" i="2"/>
  <c r="AC314" i="2"/>
  <c r="N314" i="2"/>
  <c r="AH314" i="2" l="1"/>
  <c r="AI314" i="2" s="1"/>
  <c r="AO314" i="2" s="1"/>
  <c r="M315" i="2"/>
  <c r="AQ313" i="2"/>
  <c r="AW313" i="2" s="1"/>
  <c r="AR313" i="2"/>
  <c r="BE313" i="2"/>
  <c r="BD313" i="2"/>
  <c r="BF313" i="2"/>
  <c r="BB313" i="2"/>
  <c r="BC313" i="2"/>
  <c r="BA313" i="2"/>
  <c r="AP313" i="2"/>
  <c r="AV313" i="2" s="1"/>
  <c r="AX313" i="2"/>
  <c r="AY313" i="2"/>
  <c r="AZ312" i="2"/>
  <c r="AU312" i="2"/>
  <c r="AC315" i="2"/>
  <c r="N315" i="2"/>
  <c r="F316" i="2"/>
  <c r="E317" i="2"/>
  <c r="AH315" i="2" l="1"/>
  <c r="AI315" i="2" s="1"/>
  <c r="AO315" i="2" s="1"/>
  <c r="M316" i="2"/>
  <c r="AQ314" i="2"/>
  <c r="AW314" i="2" s="1"/>
  <c r="AY314" i="2"/>
  <c r="BF314" i="2"/>
  <c r="BE314" i="2"/>
  <c r="BD314" i="2"/>
  <c r="BB314" i="2"/>
  <c r="BC314" i="2"/>
  <c r="BA314" i="2"/>
  <c r="AZ313" i="2"/>
  <c r="AU313" i="2"/>
  <c r="AR314" i="2"/>
  <c r="AP314" i="2"/>
  <c r="AV314" i="2" s="1"/>
  <c r="AX314" i="2"/>
  <c r="E318" i="2"/>
  <c r="F317" i="2"/>
  <c r="AC316" i="2"/>
  <c r="N316" i="2"/>
  <c r="AH316" i="2" l="1"/>
  <c r="AI316" i="2" s="1"/>
  <c r="AO316" i="2" s="1"/>
  <c r="M317" i="2"/>
  <c r="AQ315" i="2"/>
  <c r="AW315" i="2" s="1"/>
  <c r="AR315" i="2"/>
  <c r="BF315" i="2"/>
  <c r="BE315" i="2"/>
  <c r="BD315" i="2"/>
  <c r="BB315" i="2"/>
  <c r="BC315" i="2"/>
  <c r="BA315" i="2"/>
  <c r="AU314" i="2"/>
  <c r="AZ314" i="2"/>
  <c r="AX315" i="2"/>
  <c r="AY315" i="2"/>
  <c r="AP315" i="2"/>
  <c r="AV315" i="2" s="1"/>
  <c r="E319" i="2"/>
  <c r="F318" i="2"/>
  <c r="AC317" i="2"/>
  <c r="N317" i="2"/>
  <c r="AH317" i="2" l="1"/>
  <c r="AI317" i="2" s="1"/>
  <c r="AO317" i="2" s="1"/>
  <c r="M318" i="2"/>
  <c r="AQ316" i="2"/>
  <c r="AW316" i="2" s="1"/>
  <c r="AY316" i="2"/>
  <c r="BD316" i="2"/>
  <c r="BF316" i="2"/>
  <c r="BE316" i="2"/>
  <c r="BC316" i="2"/>
  <c r="BB316" i="2"/>
  <c r="BA316" i="2"/>
  <c r="AZ315" i="2"/>
  <c r="AR316" i="2"/>
  <c r="AU315" i="2"/>
  <c r="AX316" i="2"/>
  <c r="AP316" i="2"/>
  <c r="AV316" i="2" s="1"/>
  <c r="F319" i="2"/>
  <c r="E320" i="2"/>
  <c r="F320" i="2" s="1"/>
  <c r="AC318" i="2"/>
  <c r="N318" i="2"/>
  <c r="AH318" i="2" l="1"/>
  <c r="AI318" i="2" s="1"/>
  <c r="AO318" i="2" s="1"/>
  <c r="M319" i="2"/>
  <c r="M320" i="2"/>
  <c r="H29" i="4" s="1"/>
  <c r="AQ317" i="2"/>
  <c r="AW317" i="2" s="1"/>
  <c r="AY317" i="2"/>
  <c r="BF317" i="2"/>
  <c r="BE317" i="2"/>
  <c r="BD317" i="2"/>
  <c r="BC317" i="2"/>
  <c r="BB317" i="2"/>
  <c r="BA317" i="2"/>
  <c r="AZ316" i="2"/>
  <c r="AX317" i="2"/>
  <c r="AR317" i="2"/>
  <c r="AP317" i="2"/>
  <c r="AV317" i="2" s="1"/>
  <c r="AU316" i="2"/>
  <c r="AC320" i="2"/>
  <c r="H11" i="4" s="1"/>
  <c r="N320" i="2"/>
  <c r="H19" i="4" s="1"/>
  <c r="H6" i="4"/>
  <c r="I6" i="4" s="1"/>
  <c r="AC319" i="2"/>
  <c r="N319" i="2"/>
  <c r="AH319" i="2" l="1"/>
  <c r="AI319" i="2" s="1"/>
  <c r="AO319" i="2" s="1"/>
  <c r="AH320" i="2"/>
  <c r="AI320" i="2" s="1"/>
  <c r="AO320" i="2" s="1"/>
  <c r="AQ318" i="2"/>
  <c r="AW318" i="2" s="1"/>
  <c r="AX318" i="2"/>
  <c r="BF318" i="2"/>
  <c r="BE318" i="2"/>
  <c r="BD318" i="2"/>
  <c r="BB318" i="2"/>
  <c r="BA318" i="2"/>
  <c r="BC318" i="2"/>
  <c r="AU317" i="2"/>
  <c r="AZ317" i="2"/>
  <c r="AR318" i="2"/>
  <c r="AY318" i="2"/>
  <c r="AP318" i="2"/>
  <c r="I19" i="4"/>
  <c r="I29" i="4"/>
  <c r="I11" i="4"/>
  <c r="K11" i="4"/>
  <c r="H26" i="4" l="1"/>
  <c r="E26" i="4" s="1"/>
  <c r="K26" i="4" s="1"/>
  <c r="AQ320" i="2"/>
  <c r="AW320" i="2" s="1"/>
  <c r="AQ319" i="2"/>
  <c r="AW319" i="2" s="1"/>
  <c r="BF320" i="2"/>
  <c r="BE320" i="2"/>
  <c r="BD320" i="2"/>
  <c r="BC320" i="2"/>
  <c r="BA320" i="2"/>
  <c r="BB320" i="2"/>
  <c r="AP319" i="2"/>
  <c r="AV319" i="2" s="1"/>
  <c r="BF319" i="2"/>
  <c r="BE319" i="2"/>
  <c r="BD319" i="2"/>
  <c r="BA319" i="2"/>
  <c r="BC319" i="2"/>
  <c r="BB319" i="2"/>
  <c r="AR319" i="2"/>
  <c r="AY319" i="2"/>
  <c r="AX319" i="2"/>
  <c r="AV318" i="2"/>
  <c r="AZ318" i="2" s="1"/>
  <c r="AU318" i="2"/>
  <c r="AX320" i="2"/>
  <c r="AR320" i="2"/>
  <c r="AY320" i="2"/>
  <c r="AP320" i="2"/>
  <c r="AV320" i="2" s="1"/>
  <c r="I26" i="4" l="1"/>
  <c r="G26" i="4"/>
  <c r="H24" i="4"/>
  <c r="I24" i="4" s="1"/>
  <c r="AZ319" i="2"/>
  <c r="AU319" i="2"/>
  <c r="AZ320" i="2"/>
  <c r="AU320" i="2"/>
</calcChain>
</file>

<file path=xl/sharedStrings.xml><?xml version="1.0" encoding="utf-8"?>
<sst xmlns="http://schemas.openxmlformats.org/spreadsheetml/2006/main" count="1638" uniqueCount="844">
  <si>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</si>
  <si>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</si>
  <si>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</si>
  <si>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</si>
  <si>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</si>
  <si>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</si>
  <si>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</si>
  <si>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</si>
  <si>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</si>
  <si>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</si>
  <si>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</si>
  <si>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</si>
  <si>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</si>
  <si>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</si>
  <si>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</si>
  <si>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</si>
  <si>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</si>
  <si>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</si>
  <si>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</si>
  <si>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</si>
  <si>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</si>
  <si>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</si>
  <si>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</si>
  <si>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</si>
  <si>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</si>
  <si>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</si>
  <si>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</si>
  <si>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</si>
  <si>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</si>
  <si>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</si>
  <si>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</si>
  <si>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</si>
  <si>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</si>
  <si>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</si>
  <si>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</si>
  <si>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</si>
  <si>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</si>
  <si>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</si>
  <si>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</si>
  <si>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</si>
  <si>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</si>
  <si>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</si>
  <si>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</si>
  <si>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</si>
  <si>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</si>
  <si>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</si>
  <si>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</si>
  <si>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</si>
  <si>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</si>
  <si>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</si>
  <si>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</si>
  <si>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</si>
  <si>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</si>
  <si>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</si>
  <si>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</si>
  <si>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</si>
  <si>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</si>
  <si>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</si>
  <si>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</si>
  <si>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</si>
  <si>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</si>
  <si>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</si>
  <si>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</si>
  <si>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</si>
  <si>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</si>
  <si>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</si>
  <si>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</si>
  <si>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</si>
  <si>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</si>
  <si>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</si>
  <si>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</si>
  <si>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</si>
  <si>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</si>
  <si>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</si>
  <si>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</si>
  <si>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</si>
  <si>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</si>
  <si>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</si>
  <si>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</si>
  <si>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</si>
  <si>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</si>
  <si>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</si>
  <si>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</si>
  <si>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</si>
  <si>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</si>
  <si>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</si>
  <si>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</si>
  <si>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</si>
  <si>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</si>
  <si>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</si>
  <si>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</si>
  <si>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</si>
  <si>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</si>
  <si>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</si>
  <si>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</si>
  <si>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</si>
  <si>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</si>
  <si>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</si>
  <si>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</si>
  <si>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</si>
  <si>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</si>
  <si>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</si>
  <si>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</si>
  <si>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</si>
  <si>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</si>
  <si>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</si>
  <si>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</si>
  <si>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</si>
  <si>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</si>
  <si>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</si>
  <si>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</si>
  <si>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</si>
  <si>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</si>
  <si>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</si>
  <si>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</si>
  <si>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</si>
  <si>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</si>
  <si>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</si>
  <si>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</si>
  <si>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</si>
  <si>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</si>
  <si>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</si>
  <si>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</si>
  <si>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</si>
  <si>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</si>
  <si>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</si>
  <si>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</si>
  <si>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</si>
  <si>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</si>
  <si>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</si>
  <si>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</si>
  <si>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</si>
  <si>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</si>
  <si>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</si>
  <si>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</si>
  <si>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</si>
  <si>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</si>
  <si>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</si>
  <si>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</si>
  <si>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</si>
  <si>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</si>
  <si>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</si>
  <si>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</si>
  <si>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</si>
  <si>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</si>
  <si>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</si>
  <si>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</si>
  <si>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</si>
  <si>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</si>
  <si>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</si>
  <si>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</si>
  <si>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</si>
  <si>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</si>
  <si>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</si>
  <si>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</si>
  <si>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</si>
  <si>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</si>
  <si>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</si>
  <si>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</si>
  <si>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</si>
  <si>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</si>
  <si>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</si>
  <si>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</si>
  <si>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</si>
  <si>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</si>
  <si>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</si>
  <si>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</si>
  <si>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</si>
  <si>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</si>
  <si>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</si>
  <si>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</si>
  <si>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</si>
  <si>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</si>
  <si>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</si>
  <si>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</si>
  <si>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</si>
  <si>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</si>
  <si>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</si>
  <si>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</si>
  <si>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</si>
  <si>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</si>
  <si>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</si>
  <si>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</si>
  <si>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</si>
  <si>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</si>
  <si>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</si>
  <si>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</si>
  <si>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</si>
  <si>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</si>
  <si>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</si>
  <si>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</si>
  <si>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</si>
  <si>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</si>
  <si>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</si>
  <si>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</si>
  <si>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</si>
  <si>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</si>
  <si>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</si>
  <si>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</si>
  <si>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</si>
  <si>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</si>
  <si>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</si>
  <si>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</si>
  <si>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</si>
  <si>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</si>
  <si>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</si>
  <si>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</si>
  <si>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</si>
  <si>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</si>
  <si>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</si>
  <si>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</si>
  <si>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</si>
  <si>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</si>
  <si>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</si>
  <si>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</si>
  <si>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</si>
  <si>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</si>
  <si>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</si>
  <si>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</si>
  <si>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</si>
  <si>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</si>
  <si>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</si>
  <si>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</si>
  <si>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</si>
  <si>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</si>
  <si>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</si>
  <si>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</si>
  <si>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</si>
  <si>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</si>
  <si>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</si>
  <si>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</si>
  <si>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</si>
  <si>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</si>
  <si>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</si>
  <si>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</si>
  <si>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</si>
  <si>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</si>
  <si>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</si>
  <si>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</si>
  <si>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</si>
  <si>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</si>
  <si>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</si>
  <si>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</si>
  <si>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</si>
  <si>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</si>
  <si>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</si>
  <si>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</si>
  <si>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</si>
  <si>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</si>
  <si>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</si>
  <si>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</si>
  <si>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</si>
  <si>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</si>
  <si>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</si>
  <si>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</si>
  <si>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</si>
  <si>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</si>
  <si>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</si>
  <si>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</si>
  <si>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</si>
  <si>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</si>
  <si>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</si>
  <si>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</si>
  <si>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</si>
  <si>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</si>
  <si>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</si>
  <si>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</si>
  <si>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</si>
  <si>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</si>
  <si>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</si>
  <si>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</si>
  <si>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</si>
  <si>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</si>
  <si>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</si>
  <si>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</si>
  <si>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</si>
  <si>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</si>
  <si>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</si>
  <si>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</si>
  <si>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</si>
  <si>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</si>
  <si>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</si>
  <si>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</si>
  <si>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</si>
  <si>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</si>
  <si>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</si>
  <si>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</si>
  <si>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</si>
  <si>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</si>
  <si>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</si>
  <si>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</si>
  <si>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</si>
  <si>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</si>
  <si>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</si>
  <si>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</si>
  <si>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</si>
  <si>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</si>
  <si>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</si>
  <si>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</si>
  <si>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</si>
  <si>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</si>
  <si>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</si>
  <si>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</si>
  <si>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</si>
  <si>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</si>
  <si>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</si>
  <si>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</si>
  <si>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</si>
  <si>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</si>
  <si>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</si>
  <si>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</si>
  <si>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</si>
  <si>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</si>
  <si>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</si>
  <si>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</si>
  <si>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</si>
  <si>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</si>
  <si>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</si>
  <si>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</si>
  <si>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</si>
  <si>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</si>
  <si>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</si>
  <si>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</si>
  <si>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</si>
  <si>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</si>
  <si>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</si>
  <si>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</si>
  <si>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</si>
  <si>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</si>
  <si>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</si>
  <si>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</si>
  <si>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</si>
  <si>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</si>
  <si>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</si>
  <si>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</si>
  <si>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</si>
  <si>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</si>
  <si>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</si>
  <si>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</si>
  <si>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</si>
  <si>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</si>
  <si>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</si>
  <si>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</si>
  <si>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</si>
  <si>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</si>
  <si>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</si>
  <si>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</si>
  <si>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</si>
  <si>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</si>
  <si>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</si>
  <si>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</si>
  <si>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</si>
  <si>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</si>
  <si>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</si>
  <si>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</si>
  <si>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</si>
  <si>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</si>
  <si>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</si>
  <si>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</si>
  <si>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</si>
  <si>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</si>
  <si>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</si>
  <si>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</si>
  <si>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</si>
  <si>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</si>
  <si>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</si>
  <si>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</si>
  <si>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</si>
  <si>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</si>
  <si>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</si>
  <si>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</si>
  <si>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</si>
  <si>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</si>
  <si>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</si>
  <si>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</si>
  <si>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</si>
  <si>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</si>
  <si>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</si>
  <si>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</si>
  <si>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</si>
  <si>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</si>
  <si>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</si>
  <si>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</si>
  <si>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</si>
  <si>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</si>
  <si>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</si>
  <si>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</si>
  <si>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</si>
  <si>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</si>
  <si>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</si>
  <si>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</si>
  <si>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</si>
  <si>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</si>
  <si>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</si>
  <si>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</si>
  <si>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</si>
  <si>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</si>
  <si>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</si>
  <si>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</si>
  <si>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</si>
  <si>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</si>
  <si>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</si>
  <si>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</si>
  <si>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</si>
  <si>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</si>
  <si>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</si>
  <si>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</si>
  <si>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</si>
  <si>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</si>
  <si>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</si>
  <si>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</si>
  <si>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</si>
  <si>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</si>
  <si>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</si>
  <si>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</si>
  <si>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</si>
  <si>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</si>
  <si>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</si>
  <si>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</si>
  <si>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</si>
  <si>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</si>
  <si>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</si>
  <si>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</si>
  <si>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</si>
  <si>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</si>
  <si>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</si>
  <si>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</si>
  <si>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</si>
  <si>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</si>
  <si>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</si>
  <si>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</si>
  <si>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</si>
  <si>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</si>
  <si>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</si>
  <si>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</si>
  <si>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</si>
  <si>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</si>
  <si>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</si>
  <si>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</si>
  <si>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</si>
  <si>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</si>
  <si>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</si>
  <si>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</si>
  <si>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</si>
  <si>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</si>
  <si>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</si>
  <si>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</si>
  <si>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</si>
  <si>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</si>
  <si>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</si>
  <si>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</si>
  <si>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</si>
  <si>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</si>
  <si>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</si>
  <si>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</si>
  <si>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</si>
  <si>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</si>
  <si>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</si>
  <si>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</si>
  <si>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</si>
  <si>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</si>
  <si>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</si>
  <si>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</si>
  <si>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</si>
  <si>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</si>
  <si>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</si>
  <si>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</si>
  <si>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</si>
  <si>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</si>
  <si>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</si>
  <si>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</si>
  <si>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</si>
  <si>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</si>
  <si>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</si>
  <si>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</si>
  <si>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</si>
  <si>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</si>
  <si>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</si>
  <si>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</si>
  <si>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</si>
  <si>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</si>
  <si>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</si>
  <si>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</si>
  <si>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</si>
  <si>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</si>
  <si>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</si>
  <si>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</si>
  <si>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</si>
  <si>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</si>
  <si>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</si>
  <si>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</si>
  <si>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</si>
  <si>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</si>
  <si>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</si>
  <si>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</si>
  <si>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</si>
  <si>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</si>
  <si>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</si>
  <si>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</si>
  <si>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</si>
  <si>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</si>
  <si>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</si>
  <si>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</si>
  <si>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</si>
  <si>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</si>
  <si>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</si>
  <si>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</si>
  <si>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</si>
  <si>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</si>
  <si>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</si>
  <si>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</si>
  <si>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</si>
  <si>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</si>
  <si>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</si>
  <si>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</si>
  <si>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</si>
  <si>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</si>
  <si>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</si>
  <si>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</si>
  <si>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</si>
  <si>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</si>
  <si>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</si>
  <si>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</si>
  <si>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</si>
  <si>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</si>
  <si>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</si>
  <si>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</si>
  <si>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</si>
  <si>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</si>
  <si>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</si>
  <si>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</si>
  <si>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</si>
  <si>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</si>
  <si>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</si>
  <si>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</si>
  <si>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</si>
  <si>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</si>
  <si>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</si>
  <si>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</si>
  <si>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</si>
  <si>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</si>
  <si>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</si>
  <si>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</si>
  <si>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</si>
  <si>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</si>
  <si>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</si>
  <si>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</si>
  <si>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</si>
  <si>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</si>
  <si>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</si>
  <si>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</si>
  <si>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</si>
  <si>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</si>
  <si>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</si>
  <si>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</si>
  <si>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</si>
  <si>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</si>
  <si>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</si>
  <si>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</si>
  <si>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</si>
  <si>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</si>
  <si>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</si>
  <si>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</si>
  <si>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</si>
  <si>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</si>
  <si>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</si>
  <si>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</si>
  <si>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</si>
  <si>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</si>
  <si>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</si>
  <si>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</si>
  <si>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</si>
  <si>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</si>
  <si>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</si>
  <si>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</si>
  <si>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</si>
  <si>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</si>
  <si>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</si>
  <si>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</si>
  <si>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</si>
  <si>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</si>
  <si>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</si>
  <si>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</si>
  <si>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</si>
  <si>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</si>
  <si>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</si>
  <si>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</si>
  <si>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</si>
  <si>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</si>
  <si>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</si>
  <si>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</si>
  <si>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</si>
  <si>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</si>
  <si>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</si>
  <si>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</si>
  <si>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</si>
  <si>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</si>
  <si>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</si>
  <si>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</si>
  <si>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</si>
  <si>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</si>
  <si>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</si>
  <si>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</si>
  <si>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</si>
  <si>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</si>
  <si>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</si>
  <si>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</si>
  <si>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</si>
  <si>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</si>
  <si>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</si>
  <si>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</si>
  <si>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</si>
  <si>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</si>
  <si>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</si>
  <si>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</si>
  <si>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</si>
  <si>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</si>
  <si>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</si>
  <si>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</si>
  <si>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</si>
  <si>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</si>
  <si>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</si>
  <si>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</si>
  <si>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</si>
  <si>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</si>
  <si>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</si>
  <si>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</si>
  <si>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</si>
  <si>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</si>
  <si>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</si>
  <si>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</si>
  <si>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</si>
  <si>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</si>
  <si>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</si>
  <si>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</si>
  <si>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</si>
  <si>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</si>
  <si>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</si>
  <si>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</si>
  <si>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</si>
  <si>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</si>
  <si>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</si>
  <si>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</si>
  <si>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</si>
  <si>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</si>
  <si>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</si>
  <si>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</si>
  <si>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</si>
  <si>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</si>
  <si>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</si>
  <si>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</si>
  <si>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</si>
  <si>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</si>
  <si>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</si>
  <si>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</si>
  <si>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</si>
  <si>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</si>
  <si>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</si>
  <si>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</si>
  <si>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</si>
  <si>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</si>
  <si>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</si>
  <si>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</si>
  <si>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</si>
  <si>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</si>
  <si>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</si>
  <si>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</si>
  <si>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</si>
  <si>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</si>
  <si>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</si>
  <si>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</si>
  <si>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</si>
  <si>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</si>
  <si>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</si>
  <si>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</si>
  <si>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</si>
  <si>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</si>
  <si>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</si>
  <si>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</si>
  <si>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</si>
  <si>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</si>
  <si>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</si>
  <si>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</si>
  <si>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</si>
  <si>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</si>
  <si>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</si>
  <si>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</si>
  <si>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</si>
  <si>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</si>
  <si>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</si>
  <si>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</si>
  <si>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</si>
  <si>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</si>
  <si>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</si>
  <si>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</si>
  <si>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</si>
  <si>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</si>
  <si>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</si>
  <si>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</si>
  <si>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</si>
  <si>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</si>
  <si>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</si>
  <si>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</si>
  <si>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</si>
  <si>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</si>
  <si>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</si>
  <si>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</si>
  <si>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</si>
  <si>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</si>
  <si>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</si>
  <si>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</si>
  <si>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</si>
  <si>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</si>
  <si>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</si>
  <si>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</si>
  <si>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</si>
  <si>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</si>
  <si>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</si>
  <si>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</si>
  <si>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</si>
  <si>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</si>
  <si>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</si>
  <si>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</si>
  <si>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</si>
  <si>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</si>
  <si>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</si>
  <si>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</si>
  <si>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</si>
  <si>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</si>
  <si>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</si>
  <si>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</si>
  <si>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</si>
  <si>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</si>
  <si>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</si>
  <si>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</si>
  <si>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</si>
  <si>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</si>
  <si>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</si>
  <si>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</si>
  <si>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</si>
  <si>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</si>
  <si>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</si>
  <si>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</si>
  <si>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</si>
  <si>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</si>
  <si>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</si>
  <si>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</si>
  <si>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</si>
  <si>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</si>
  <si>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</si>
  <si>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</si>
  <si>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</si>
  <si>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</si>
  <si>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</si>
  <si>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</si>
  <si>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</si>
  <si>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</si>
  <si>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</si>
  <si>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</si>
  <si>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</si>
  <si>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</si>
  <si>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</si>
  <si>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</si>
  <si>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</si>
  <si>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</si>
  <si>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</si>
  <si>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</si>
  <si>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</si>
  <si>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</si>
  <si>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</si>
  <si>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</si>
  <si>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</si>
  <si>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</si>
  <si>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</si>
  <si>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</si>
  <si>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</si>
  <si>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</si>
  <si>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</si>
  <si>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</si>
  <si>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</si>
  <si>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</si>
  <si>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</si>
  <si>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</si>
  <si>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</si>
  <si>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</si>
  <si>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</si>
  <si>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</si>
  <si>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</si>
  <si>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</si>
  <si>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</si>
  <si>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</si>
  <si>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</si>
  <si>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</si>
  <si>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</si>
  <si>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</si>
  <si>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</si>
  <si>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</si>
  <si>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</si>
  <si>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</si>
  <si>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</si>
  <si>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</si>
  <si>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</si>
  <si>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</si>
  <si>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</si>
  <si>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</si>
  <si>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</si>
  <si>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</si>
  <si>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Ad. Extr 13515</t>
  </si>
  <si>
    <t>Bon Compe Rem Cargos Dir Sup</t>
  </si>
  <si>
    <t>(*)</t>
  </si>
  <si>
    <t>Gto. Inh. Lab. Doc 07 13-181</t>
  </si>
  <si>
    <t>Adic Rem Cgo 4 DIR JURISDICCION Y 13444</t>
  </si>
  <si>
    <t>Adic Rem Cgo 10 DIR 2da CTRO DEP 13294/5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</si>
  <si>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</si>
  <si>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</si>
  <si>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</si>
  <si>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</si>
  <si>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</si>
  <si>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</si>
  <si>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</si>
  <si>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</si>
  <si>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</si>
  <si>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</si>
  <si>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</si>
  <si>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</si>
  <si>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</si>
  <si>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</si>
  <si>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</si>
  <si>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</si>
  <si>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</si>
  <si>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</si>
  <si>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</si>
  <si>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</si>
  <si>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</si>
  <si>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</si>
  <si>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C119560</t>
  </si>
  <si>
    <t>Adic  a Cta de Fut Aumentos No Rem</t>
  </si>
  <si>
    <t>nuevo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</si>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</sst>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  <numFmt numFmtId="185" formatCode="#,##0.00_ ;[Red]\-#,##0.00\ 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5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  <xf numFmtId="44" fontId="40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167" fontId="39" fillId="6" borderId="0" xfId="4" applyNumberFormat="1" applyFont="1" applyFill="1" applyBorder="1" applyAlignment="1">
      <alignment horizontal="center"/>
    </xf>
    <xf numFmtId="185" fontId="0" fillId="0" borderId="0" xfId="0" applyNumberFormat="1"/>
    <xf numFmtId="167" fontId="19" fillId="0" borderId="10" xfId="4" applyNumberFormat="1" applyFont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wrapText="1"/>
    </xf>
    <xf numFmtId="172" fontId="10" fillId="0" borderId="0" xfId="3" applyNumberFormat="1"/>
    <xf numFmtId="167" fontId="39" fillId="10" borderId="0" xfId="4" applyNumberFormat="1" applyFont="1" applyFill="1" applyBorder="1" applyAlignment="1">
      <alignment horizontal="center"/>
    </xf>
    <xf numFmtId="167" fontId="41" fillId="8" borderId="1" xfId="4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167" fontId="21" fillId="0" borderId="0" xfId="4" applyNumberFormat="1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398748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zoomScaleNormal="100" workbookViewId="0">
      <pane ySplit="1" topLeftCell="A26" activePane="bottomLeft" state="frozen"/>
      <selection pane="bottomLeft" activeCell="C36" sqref="C36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603</v>
      </c>
      <c r="H1" s="1"/>
      <c r="I1" s="1" t="s">
        <v>2</v>
      </c>
      <c r="J1" s="1" t="s">
        <v>3</v>
      </c>
      <c r="L1" s="135">
        <v>0</v>
      </c>
    </row>
    <row r="2" spans="1:14" s="81" customFormat="1" ht="12.75" customHeight="1" x14ac:dyDescent="0.2">
      <c r="A2" s="80" t="s">
        <v>4</v>
      </c>
      <c r="B2" s="81" t="s">
        <v>5</v>
      </c>
      <c r="C2" s="211">
        <v>77.596699999999998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ht="12.75" customHeigh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0.25</v>
      </c>
      <c r="L3" s="136">
        <v>2</v>
      </c>
      <c r="N3" s="213">
        <v>0.2</v>
      </c>
    </row>
    <row r="4" spans="1:14" s="81" customFormat="1" ht="12.75" customHeight="1" x14ac:dyDescent="0.2">
      <c r="A4" s="80" t="s">
        <v>4</v>
      </c>
      <c r="B4" s="80" t="s">
        <v>656</v>
      </c>
      <c r="C4" s="6">
        <v>0.25</v>
      </c>
      <c r="H4" s="84"/>
      <c r="I4" s="81">
        <v>2</v>
      </c>
      <c r="J4" s="83">
        <v>0.25</v>
      </c>
      <c r="L4" s="137">
        <v>3</v>
      </c>
      <c r="N4" s="213">
        <v>0.4</v>
      </c>
    </row>
    <row r="5" spans="1:14" s="81" customFormat="1" ht="12.75" customHeight="1" x14ac:dyDescent="0.2">
      <c r="A5" s="80" t="s">
        <v>4</v>
      </c>
      <c r="B5" s="81" t="s">
        <v>7</v>
      </c>
      <c r="C5" s="6">
        <v>0.4</v>
      </c>
      <c r="D5" s="95">
        <f>ROUND((('Escala Docente'!F142*C5)),2)</f>
        <v>39667.43</v>
      </c>
      <c r="E5" s="95">
        <f>ROUND(D5/15,2)</f>
        <v>2644.5</v>
      </c>
      <c r="F5" s="84">
        <v>48169.84</v>
      </c>
      <c r="G5" s="84"/>
      <c r="I5" s="81">
        <v>3</v>
      </c>
      <c r="J5" s="83">
        <v>0.25</v>
      </c>
      <c r="L5" s="137">
        <v>4</v>
      </c>
      <c r="N5" s="213">
        <v>0.6</v>
      </c>
    </row>
    <row r="6" spans="1:14" s="81" customFormat="1" ht="12.75" customHeight="1" x14ac:dyDescent="0.2">
      <c r="A6" s="85" t="s">
        <v>602</v>
      </c>
      <c r="B6" s="85"/>
      <c r="C6" s="76"/>
      <c r="D6" s="85"/>
      <c r="E6" s="85"/>
      <c r="F6" s="85"/>
      <c r="G6" s="85"/>
      <c r="I6" s="81">
        <v>4</v>
      </c>
      <c r="J6" s="83">
        <v>0.25</v>
      </c>
      <c r="L6" s="137">
        <v>5</v>
      </c>
      <c r="N6" s="213">
        <v>0.8</v>
      </c>
    </row>
    <row r="7" spans="1:14" s="81" customFormat="1" ht="12.75" customHeight="1" x14ac:dyDescent="0.2">
      <c r="A7" s="162" t="s">
        <v>4</v>
      </c>
      <c r="B7" s="163" t="s">
        <v>9</v>
      </c>
      <c r="C7" s="175">
        <v>2631.37</v>
      </c>
      <c r="D7" s="95"/>
      <c r="E7" s="83"/>
      <c r="G7" s="175">
        <v>1655.57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ht="12.75" customHeight="1" x14ac:dyDescent="0.2">
      <c r="A8" s="162" t="s">
        <v>4</v>
      </c>
      <c r="B8" s="164" t="s">
        <v>10</v>
      </c>
      <c r="C8" s="175">
        <v>97252.17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ht="12.75" customHeight="1" x14ac:dyDescent="0.2">
      <c r="A9" s="162" t="s">
        <v>4</v>
      </c>
      <c r="B9" s="164" t="s">
        <v>11</v>
      </c>
      <c r="C9" s="101">
        <v>97503.47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ht="12.75" customHeight="1" x14ac:dyDescent="0.2">
      <c r="A10" s="162" t="s">
        <v>4</v>
      </c>
      <c r="B10" s="164" t="s">
        <v>616</v>
      </c>
      <c r="C10" s="101">
        <v>79402.75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ht="12.75" customHeight="1" x14ac:dyDescent="0.2">
      <c r="A11" s="162" t="s">
        <v>4</v>
      </c>
      <c r="B11" s="164" t="s">
        <v>811</v>
      </c>
      <c r="C11" s="101">
        <v>69186.37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ht="12.75" customHeight="1" x14ac:dyDescent="0.2">
      <c r="A12" s="162" t="s">
        <v>4</v>
      </c>
      <c r="B12" s="163" t="s">
        <v>12</v>
      </c>
      <c r="C12" s="101">
        <v>176033.53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ht="12.75" customHeight="1" x14ac:dyDescent="0.2">
      <c r="A13" s="162" t="s">
        <v>4</v>
      </c>
      <c r="B13" s="164" t="s">
        <v>13</v>
      </c>
      <c r="C13" s="101">
        <v>71072.05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24" t="str">
        <f ca="1">MID(CELL("FILENAME",N30),FIND("[",CELL("FILENAME",N30))+1,FIND("]",CELL("FILENAME",N30))-FIND("[",CELL("FILENAME",N30))-6)</f>
        <v>Esc Doc 2024 02 Cba V 1 0</v>
      </c>
      <c r="N13" s="224"/>
    </row>
    <row r="14" spans="1:14" s="81" customFormat="1" ht="12.75" customHeight="1" x14ac:dyDescent="0.2">
      <c r="A14" s="162" t="s">
        <v>4</v>
      </c>
      <c r="B14" s="164" t="s">
        <v>14</v>
      </c>
      <c r="C14" s="175">
        <v>77265.73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02</v>
      </c>
    </row>
    <row r="15" spans="1:14" s="81" customFormat="1" ht="12.75" customHeight="1" x14ac:dyDescent="0.2">
      <c r="A15" s="162" t="s">
        <v>4</v>
      </c>
      <c r="B15" s="164" t="s">
        <v>604</v>
      </c>
      <c r="C15" s="8">
        <v>112114.37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2024</v>
      </c>
    </row>
    <row r="16" spans="1:14" s="81" customFormat="1" ht="12.75" customHeight="1" x14ac:dyDescent="0.2">
      <c r="A16" s="162" t="s">
        <v>4</v>
      </c>
      <c r="B16" s="164" t="s">
        <v>812</v>
      </c>
      <c r="C16" s="101">
        <v>67049.36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FEBRERO</v>
      </c>
    </row>
    <row r="17" spans="1:13" s="81" customFormat="1" ht="12.75" customHeight="1" x14ac:dyDescent="0.2">
      <c r="A17" s="85" t="s">
        <v>602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631</v>
      </c>
    </row>
    <row r="18" spans="1:13" s="81" customFormat="1" ht="12.75" customHeight="1" x14ac:dyDescent="0.2">
      <c r="A18" s="162" t="s">
        <v>4</v>
      </c>
      <c r="B18" s="163" t="s">
        <v>15</v>
      </c>
      <c r="C18" s="101">
        <v>827.6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632</v>
      </c>
    </row>
    <row r="19" spans="1:13" s="81" customFormat="1" ht="12.75" customHeight="1" x14ac:dyDescent="0.2">
      <c r="A19" s="162" t="s">
        <v>4</v>
      </c>
      <c r="B19" s="163" t="s">
        <v>625</v>
      </c>
      <c r="C19" s="101">
        <v>36908.81</v>
      </c>
      <c r="D19" s="95"/>
      <c r="E19" s="216" t="s">
        <v>569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633</v>
      </c>
    </row>
    <row r="20" spans="1:13" s="81" customFormat="1" ht="12.75" customHeight="1" x14ac:dyDescent="0.2">
      <c r="A20" s="162" t="s">
        <v>4</v>
      </c>
      <c r="B20" s="163" t="s">
        <v>626</v>
      </c>
      <c r="C20" s="101">
        <v>36531.46</v>
      </c>
      <c r="D20" s="95">
        <f>C20*1.129</f>
        <v>41244.018340000002</v>
      </c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634</v>
      </c>
    </row>
    <row r="21" spans="1:13" s="81" customFormat="1" ht="12.75" customHeight="1" x14ac:dyDescent="0.2">
      <c r="A21" s="85" t="s">
        <v>602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635</v>
      </c>
    </row>
    <row r="22" spans="1:13" s="81" customFormat="1" ht="12.75" customHeight="1" x14ac:dyDescent="0.2">
      <c r="A22" s="80" t="s">
        <v>4</v>
      </c>
      <c r="B22" s="86" t="s">
        <v>627</v>
      </c>
      <c r="C22" s="175">
        <v>35387.42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636</v>
      </c>
    </row>
    <row r="23" spans="1:13" s="81" customFormat="1" ht="12.75" customHeight="1" x14ac:dyDescent="0.2">
      <c r="A23" s="80" t="s">
        <v>4</v>
      </c>
      <c r="B23" s="86" t="s">
        <v>624</v>
      </c>
      <c r="C23" s="175">
        <v>32936.269999999997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637</v>
      </c>
    </row>
    <row r="24" spans="1:13" s="81" customFormat="1" ht="12.75" customHeight="1" x14ac:dyDescent="0.2">
      <c r="A24" s="85" t="s">
        <v>602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638</v>
      </c>
    </row>
    <row r="25" spans="1:13" s="81" customFormat="1" ht="12.75" customHeight="1" x14ac:dyDescent="0.2">
      <c r="A25" s="80" t="s">
        <v>4</v>
      </c>
      <c r="B25" s="86" t="s">
        <v>16</v>
      </c>
      <c r="C25" s="8">
        <v>1622.32</v>
      </c>
      <c r="D25" s="95"/>
      <c r="F25" s="87">
        <v>2434.81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639</v>
      </c>
    </row>
    <row r="26" spans="1:13" s="81" customFormat="1" ht="12.75" customHeight="1" x14ac:dyDescent="0.2">
      <c r="A26" s="80" t="s">
        <v>4</v>
      </c>
      <c r="B26" s="86" t="s">
        <v>17</v>
      </c>
      <c r="C26" s="8">
        <v>1622.32</v>
      </c>
      <c r="D26" s="95"/>
      <c r="F26" s="87">
        <f>C26</f>
        <v>1622.32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640</v>
      </c>
    </row>
    <row r="27" spans="1:13" s="81" customFormat="1" ht="12.75" customHeight="1" x14ac:dyDescent="0.2">
      <c r="A27" s="85" t="s">
        <v>602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641</v>
      </c>
    </row>
    <row r="28" spans="1:13" s="81" customFormat="1" ht="12.75" customHeight="1" x14ac:dyDescent="0.2">
      <c r="A28" s="80" t="s">
        <v>4</v>
      </c>
      <c r="B28" s="81" t="s">
        <v>18</v>
      </c>
      <c r="C28" s="101">
        <v>65.02</v>
      </c>
      <c r="F28" s="87">
        <f>F25</f>
        <v>2434.81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642</v>
      </c>
    </row>
    <row r="29" spans="1:13" s="81" customFormat="1" ht="13.5" customHeight="1" thickBot="1" x14ac:dyDescent="0.25">
      <c r="A29" s="91" t="s">
        <v>4</v>
      </c>
      <c r="B29" s="92" t="s">
        <v>19</v>
      </c>
      <c r="C29" s="101">
        <v>54.14</v>
      </c>
      <c r="D29" s="92"/>
      <c r="E29" s="92"/>
      <c r="F29" s="93">
        <f>F26</f>
        <v>1622.32</v>
      </c>
      <c r="G29" s="175">
        <v>22.7</v>
      </c>
      <c r="I29" s="81">
        <v>27</v>
      </c>
      <c r="J29" s="83">
        <v>1.3</v>
      </c>
    </row>
    <row r="30" spans="1:13" s="81" customFormat="1" ht="12.75" customHeight="1" thickTop="1" x14ac:dyDescent="0.2">
      <c r="A30" s="75" t="s">
        <v>602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ht="12.75" customHeight="1" x14ac:dyDescent="0.2">
      <c r="A31" s="96" t="s">
        <v>8</v>
      </c>
      <c r="B31" s="96" t="s">
        <v>841</v>
      </c>
      <c r="C31" s="101">
        <v>35000</v>
      </c>
      <c r="D31" s="97">
        <f>C31/C33</f>
        <v>15.000000000000023</v>
      </c>
      <c r="E31" s="98"/>
      <c r="F31" s="97"/>
      <c r="G31" s="98"/>
      <c r="I31" s="81">
        <v>29</v>
      </c>
      <c r="J31" s="83">
        <v>1.4</v>
      </c>
    </row>
    <row r="32" spans="1:13" s="81" customFormat="1" ht="12.75" customHeight="1" x14ac:dyDescent="0.2">
      <c r="A32" s="96" t="s">
        <v>4</v>
      </c>
      <c r="B32" s="96" t="s">
        <v>842</v>
      </c>
      <c r="C32" s="101">
        <v>70000</v>
      </c>
      <c r="D32" s="97"/>
      <c r="E32" s="98"/>
      <c r="F32" s="97"/>
      <c r="G32" s="97"/>
      <c r="I32" s="81">
        <v>30</v>
      </c>
      <c r="J32" s="83">
        <v>1.5</v>
      </c>
    </row>
    <row r="33" spans="1:13" s="81" customFormat="1" ht="12.75" customHeight="1" x14ac:dyDescent="0.2">
      <c r="A33" s="96" t="s">
        <v>8</v>
      </c>
      <c r="B33" s="96" t="s">
        <v>843</v>
      </c>
      <c r="C33" s="101">
        <v>2333.3333333333298</v>
      </c>
      <c r="D33" s="98"/>
      <c r="E33" s="97"/>
      <c r="F33" s="97">
        <v>70000</v>
      </c>
      <c r="G33" s="97"/>
      <c r="I33" s="81">
        <v>31</v>
      </c>
      <c r="J33" s="83">
        <v>1.5</v>
      </c>
    </row>
    <row r="34" spans="1:13" s="81" customFormat="1" ht="12.75" customHeight="1" x14ac:dyDescent="0.2">
      <c r="A34" s="96" t="s">
        <v>8</v>
      </c>
      <c r="B34" s="96" t="s">
        <v>802</v>
      </c>
      <c r="C34" s="101">
        <v>4666.666666666667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customHeight="1" thickBot="1" x14ac:dyDescent="0.25">
      <c r="A35" s="96" t="s">
        <v>8</v>
      </c>
      <c r="B35" s="96" t="s">
        <v>803</v>
      </c>
      <c r="C35" s="101">
        <v>2333.3333333333335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643</v>
      </c>
      <c r="C36" s="101">
        <v>0</v>
      </c>
      <c r="D36" s="98"/>
      <c r="E36" s="97"/>
      <c r="F36" s="97"/>
      <c r="G36" s="97"/>
      <c r="I36">
        <v>34</v>
      </c>
      <c r="J36" s="3">
        <v>1.5</v>
      </c>
      <c r="M36" s="7"/>
    </row>
    <row r="37" spans="1:13" ht="12.75" customHeight="1" x14ac:dyDescent="0.2">
      <c r="A37" s="96" t="s">
        <v>8</v>
      </c>
      <c r="B37" s="96" t="s">
        <v>644</v>
      </c>
      <c r="C37" s="101">
        <v>0</v>
      </c>
      <c r="D37" s="98"/>
      <c r="E37" s="97"/>
      <c r="F37" s="97">
        <f>(C36*2)+0</f>
        <v>0</v>
      </c>
      <c r="G37" s="75"/>
      <c r="H37" s="5"/>
      <c r="I37">
        <v>35</v>
      </c>
      <c r="J37" s="3">
        <v>1.5</v>
      </c>
    </row>
    <row r="38" spans="1:13" ht="12.75" customHeight="1" x14ac:dyDescent="0.2">
      <c r="A38" s="75" t="s">
        <v>602</v>
      </c>
      <c r="B38" s="75"/>
      <c r="C38" s="78"/>
      <c r="D38" s="75"/>
      <c r="E38" s="75"/>
      <c r="F38" s="75"/>
      <c r="G38" s="5"/>
      <c r="H38" s="5"/>
      <c r="I38">
        <v>36</v>
      </c>
      <c r="J38" s="3">
        <v>1.5</v>
      </c>
    </row>
    <row r="39" spans="1:13" ht="12.75" customHeight="1" x14ac:dyDescent="0.2">
      <c r="A39" s="74" t="s">
        <v>8</v>
      </c>
      <c r="B39" t="s">
        <v>20</v>
      </c>
      <c r="C39" s="77">
        <v>0</v>
      </c>
      <c r="D39" s="5"/>
      <c r="E39" s="5"/>
      <c r="F39" s="181">
        <f>C39</f>
        <v>0</v>
      </c>
      <c r="G39" s="5"/>
      <c r="H39" s="5"/>
      <c r="I39">
        <v>39</v>
      </c>
      <c r="J39" s="3">
        <v>1.5</v>
      </c>
    </row>
    <row r="40" spans="1:13" ht="12.75" customHeight="1" x14ac:dyDescent="0.2">
      <c r="A40" s="74" t="s">
        <v>8</v>
      </c>
      <c r="B40" s="74" t="s">
        <v>653</v>
      </c>
      <c r="C40" s="77">
        <f>C39/30</f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ht="12.75" customHeight="1" x14ac:dyDescent="0.2">
      <c r="A41" s="74" t="s">
        <v>8</v>
      </c>
      <c r="B41" s="74" t="s">
        <v>807</v>
      </c>
      <c r="C41" s="77">
        <v>0</v>
      </c>
      <c r="D41" s="5"/>
      <c r="E41" s="5"/>
      <c r="F41" s="180"/>
      <c r="G41" s="75"/>
      <c r="H41" s="5"/>
      <c r="I41">
        <v>41</v>
      </c>
      <c r="J41" s="3">
        <v>1.5</v>
      </c>
    </row>
    <row r="42" spans="1:13" ht="12.75" customHeight="1" x14ac:dyDescent="0.2">
      <c r="A42" s="75" t="s">
        <v>602</v>
      </c>
      <c r="B42" s="75"/>
      <c r="C42" s="78"/>
      <c r="D42" s="75"/>
      <c r="E42" s="75"/>
      <c r="F42" s="75"/>
      <c r="G42" s="175">
        <v>10255.459999999999</v>
      </c>
      <c r="H42" s="5"/>
      <c r="I42">
        <v>42</v>
      </c>
      <c r="J42" s="3">
        <v>1.5</v>
      </c>
    </row>
    <row r="43" spans="1:13" ht="12.75" customHeight="1" x14ac:dyDescent="0.2">
      <c r="A43" s="74" t="s">
        <v>4</v>
      </c>
      <c r="B43" s="2" t="s">
        <v>630</v>
      </c>
      <c r="C43" s="100">
        <v>24450.1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629</v>
      </c>
      <c r="C44" s="101">
        <v>26002.29</v>
      </c>
      <c r="D44" s="6"/>
      <c r="E44" s="165"/>
      <c r="F44" s="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628</v>
      </c>
      <c r="C45" s="101">
        <v>27554.83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805</v>
      </c>
      <c r="C46" s="101">
        <v>29095.32</v>
      </c>
      <c r="D46" s="6"/>
      <c r="E46" s="165"/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804</v>
      </c>
      <c r="C47" s="101">
        <v>33763.35</v>
      </c>
      <c r="D47" s="6"/>
      <c r="E47" s="165"/>
      <c r="F47" s="218">
        <v>48169.84</v>
      </c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806</v>
      </c>
      <c r="C48" s="101">
        <v>41465.839999999997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810</v>
      </c>
      <c r="C49" s="101">
        <v>35303.83</v>
      </c>
      <c r="D49" s="6"/>
      <c r="E49" s="165"/>
      <c r="F49" s="8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21</v>
      </c>
      <c r="C50" s="101">
        <v>1386.06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22</v>
      </c>
      <c r="C51" s="101">
        <v>1030.3800000000001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4" t="s">
        <v>4</v>
      </c>
      <c r="B52" s="2" t="s">
        <v>647</v>
      </c>
      <c r="C52" s="101">
        <v>1030.3800000000001</v>
      </c>
      <c r="D52" s="6"/>
      <c r="E52" s="165"/>
      <c r="G52" s="75"/>
      <c r="I52">
        <v>52</v>
      </c>
      <c r="J52" s="3">
        <v>1.5</v>
      </c>
    </row>
    <row r="53" spans="1:12" ht="12.75" customHeight="1" x14ac:dyDescent="0.2">
      <c r="A53" s="75" t="s">
        <v>602</v>
      </c>
      <c r="B53" s="75"/>
      <c r="C53" s="78"/>
      <c r="D53" s="75"/>
      <c r="E53" s="75"/>
      <c r="F53" s="75"/>
      <c r="G53" s="74"/>
      <c r="I53">
        <v>53</v>
      </c>
      <c r="J53" s="3">
        <v>1.5</v>
      </c>
    </row>
    <row r="54" spans="1:12" ht="12.75" customHeight="1" x14ac:dyDescent="0.2">
      <c r="A54" s="74" t="s">
        <v>8</v>
      </c>
      <c r="B54" s="74" t="s">
        <v>23</v>
      </c>
      <c r="C54" s="94">
        <f>INT((D54/15*100)+0.49)/100</f>
        <v>80.67</v>
      </c>
      <c r="D54" s="74">
        <f>D55</f>
        <v>1210</v>
      </c>
      <c r="E54" s="74"/>
      <c r="F54" s="74">
        <v>1210</v>
      </c>
      <c r="G54" s="74"/>
    </row>
    <row r="55" spans="1:12" ht="12.75" customHeight="1" x14ac:dyDescent="0.2">
      <c r="A55" s="74" t="s">
        <v>8</v>
      </c>
      <c r="B55" s="74" t="s">
        <v>24</v>
      </c>
      <c r="C55" s="94">
        <v>1210</v>
      </c>
      <c r="D55" s="74">
        <v>1210</v>
      </c>
      <c r="E55" s="74"/>
      <c r="F55" s="74"/>
    </row>
    <row r="56" spans="1:12" ht="12.75" customHeight="1" x14ac:dyDescent="0.2">
      <c r="A56" s="74" t="s">
        <v>8</v>
      </c>
      <c r="B56" s="2" t="s">
        <v>25</v>
      </c>
      <c r="C56" s="100">
        <v>327.60000000000002</v>
      </c>
    </row>
    <row r="57" spans="1:12" ht="12.75" customHeight="1" x14ac:dyDescent="0.2">
      <c r="A57" s="74" t="s">
        <v>8</v>
      </c>
      <c r="B57" s="2" t="s">
        <v>26</v>
      </c>
      <c r="C57" s="100">
        <v>170.34</v>
      </c>
    </row>
    <row r="58" spans="1:12" ht="12.75" customHeight="1" x14ac:dyDescent="0.2">
      <c r="A58" s="74" t="s">
        <v>8</v>
      </c>
      <c r="B58" s="2" t="s">
        <v>27</v>
      </c>
      <c r="C58" s="101">
        <v>327.60000000000002</v>
      </c>
      <c r="I58" s="174">
        <f>+C64/15</f>
        <v>1236.4880000000001</v>
      </c>
    </row>
    <row r="59" spans="1:12" ht="12.75" customHeight="1" x14ac:dyDescent="0.2">
      <c r="A59" s="74" t="s">
        <v>8</v>
      </c>
      <c r="B59" s="2" t="s">
        <v>28</v>
      </c>
      <c r="C59" s="101">
        <v>155.18</v>
      </c>
      <c r="I59" s="3"/>
    </row>
    <row r="60" spans="1:12" ht="12.75" customHeight="1" x14ac:dyDescent="0.2">
      <c r="A60" s="74" t="s">
        <v>8</v>
      </c>
      <c r="B60" s="2" t="s">
        <v>29</v>
      </c>
      <c r="C60" s="101">
        <v>149.55200000000002</v>
      </c>
      <c r="I60" s="3"/>
    </row>
    <row r="61" spans="1:12" ht="12.75" customHeight="1" x14ac:dyDescent="0.2">
      <c r="A61" s="74" t="s">
        <v>8</v>
      </c>
      <c r="B61" s="2" t="s">
        <v>30</v>
      </c>
      <c r="C61" s="101">
        <v>252.66800000000001</v>
      </c>
      <c r="I61" s="3"/>
    </row>
    <row r="62" spans="1:12" ht="12.75" customHeight="1" x14ac:dyDescent="0.2">
      <c r="A62" s="74" t="s">
        <v>8</v>
      </c>
      <c r="B62" s="2" t="s">
        <v>31</v>
      </c>
      <c r="C62" s="101">
        <v>14.195</v>
      </c>
      <c r="E62" s="73">
        <f>F62/C62</f>
        <v>23.078548784783376</v>
      </c>
      <c r="F62" s="5">
        <f>C56</f>
        <v>327.60000000000002</v>
      </c>
    </row>
    <row r="63" spans="1:12" x14ac:dyDescent="0.2">
      <c r="A63" s="74" t="s">
        <v>8</v>
      </c>
      <c r="B63" s="2" t="s">
        <v>32</v>
      </c>
      <c r="C63" s="99">
        <v>11.3559</v>
      </c>
      <c r="E63" s="73">
        <f>F63/C63</f>
        <v>28.848440017964233</v>
      </c>
      <c r="F63" s="5">
        <f>C56</f>
        <v>327.60000000000002</v>
      </c>
      <c r="G63" s="175">
        <v>7582.51</v>
      </c>
    </row>
    <row r="64" spans="1:12" x14ac:dyDescent="0.2">
      <c r="A64" s="74" t="s">
        <v>4</v>
      </c>
      <c r="B64" s="2" t="s">
        <v>617</v>
      </c>
      <c r="C64" s="100">
        <v>18547.32</v>
      </c>
      <c r="D64" s="3">
        <f>ROUND((C64/15)-0.0005,2)</f>
        <v>1236.49</v>
      </c>
      <c r="E64" s="79">
        <v>38.47</v>
      </c>
      <c r="F64" s="3">
        <f>(+C64*2)-0.02</f>
        <v>37094.620000000003</v>
      </c>
      <c r="G64" s="175">
        <v>9099.01</v>
      </c>
    </row>
    <row r="65" spans="1:7" x14ac:dyDescent="0.2">
      <c r="A65" s="74" t="s">
        <v>4</v>
      </c>
      <c r="B65" s="2" t="s">
        <v>839</v>
      </c>
      <c r="C65" s="100">
        <v>1236.49</v>
      </c>
      <c r="D65" s="172"/>
      <c r="F65" s="3"/>
      <c r="G65" s="175">
        <v>15165.02</v>
      </c>
    </row>
    <row r="66" spans="1:7" ht="12.75" customHeight="1" x14ac:dyDescent="0.2">
      <c r="A66" s="74" t="s">
        <v>4</v>
      </c>
      <c r="B66" s="2" t="s">
        <v>648</v>
      </c>
      <c r="C66" s="100">
        <v>933.72</v>
      </c>
      <c r="D66" s="172"/>
      <c r="F66" s="3"/>
      <c r="G66" s="75">
        <v>335.93</v>
      </c>
    </row>
    <row r="67" spans="1:7" ht="12.75" customHeight="1" x14ac:dyDescent="0.2">
      <c r="A67" s="75" t="s">
        <v>602</v>
      </c>
      <c r="B67" s="75"/>
      <c r="C67" s="76"/>
      <c r="D67" s="75"/>
      <c r="E67" s="75"/>
      <c r="F67" s="75"/>
      <c r="G67" s="212">
        <v>758.26</v>
      </c>
    </row>
    <row r="68" spans="1:7" ht="12.75" customHeight="1" x14ac:dyDescent="0.2">
      <c r="A68" s="104" t="s">
        <v>8</v>
      </c>
      <c r="B68" t="s">
        <v>605</v>
      </c>
      <c r="C68" s="103">
        <v>1210</v>
      </c>
      <c r="D68" s="102"/>
      <c r="E68" s="102"/>
      <c r="F68">
        <v>2420</v>
      </c>
      <c r="G68" s="75">
        <v>379.13</v>
      </c>
    </row>
    <row r="69" spans="1:7" ht="12.75" customHeight="1" x14ac:dyDescent="0.2">
      <c r="A69" s="75" t="s">
        <v>602</v>
      </c>
      <c r="B69" s="75"/>
      <c r="C69" s="76"/>
      <c r="D69" s="75"/>
      <c r="E69" s="75"/>
      <c r="F69" s="75"/>
      <c r="G69" s="212"/>
    </row>
    <row r="70" spans="1:7" ht="12.75" customHeight="1" x14ac:dyDescent="0.2">
      <c r="A70" s="74" t="s">
        <v>8</v>
      </c>
      <c r="B70" s="2" t="s">
        <v>33</v>
      </c>
      <c r="C70" s="9">
        <v>0</v>
      </c>
      <c r="D70" s="10"/>
      <c r="G70" s="75"/>
    </row>
    <row r="71" spans="1:7" ht="12.75" customHeight="1" x14ac:dyDescent="0.2">
      <c r="A71" s="75" t="s">
        <v>602</v>
      </c>
      <c r="B71" s="75"/>
      <c r="C71" s="76"/>
      <c r="D71" s="75"/>
      <c r="E71" s="75"/>
      <c r="F71" s="75"/>
    </row>
    <row r="72" spans="1:7" ht="12.75" customHeight="1" x14ac:dyDescent="0.2">
      <c r="A72" s="74" t="s">
        <v>8</v>
      </c>
      <c r="B72" t="s">
        <v>34</v>
      </c>
      <c r="C72" s="11">
        <v>-0.11</v>
      </c>
    </row>
    <row r="73" spans="1:7" ht="12.75" customHeight="1" x14ac:dyDescent="0.2">
      <c r="A73" s="74" t="s">
        <v>4</v>
      </c>
      <c r="B73" t="s">
        <v>829</v>
      </c>
      <c r="C73" s="11">
        <v>-0.02</v>
      </c>
      <c r="E73">
        <v>755000.01</v>
      </c>
      <c r="F73">
        <v>1000000.01</v>
      </c>
    </row>
    <row r="74" spans="1:7" ht="12.75" customHeight="1" x14ac:dyDescent="0.2">
      <c r="A74" s="74" t="s">
        <v>8</v>
      </c>
      <c r="B74" t="s">
        <v>35</v>
      </c>
      <c r="C74" s="11">
        <v>0</v>
      </c>
    </row>
    <row r="75" spans="1:7" ht="12.75" customHeight="1" x14ac:dyDescent="0.2">
      <c r="A75" s="74" t="s">
        <v>8</v>
      </c>
      <c r="B75" t="s">
        <v>36</v>
      </c>
      <c r="C75" s="11">
        <v>-5.5E-2</v>
      </c>
    </row>
    <row r="76" spans="1:7" ht="12.75" customHeight="1" x14ac:dyDescent="0.2">
      <c r="A76" s="74" t="s">
        <v>8</v>
      </c>
      <c r="B76" t="s">
        <v>37</v>
      </c>
      <c r="C76" s="11">
        <v>-2.7E-2</v>
      </c>
      <c r="G76" s="212"/>
    </row>
    <row r="77" spans="1:7" ht="12.75" customHeight="1" x14ac:dyDescent="0.2">
      <c r="A77" s="74" t="s">
        <v>8</v>
      </c>
      <c r="B77" t="s">
        <v>38</v>
      </c>
      <c r="C77" s="11">
        <v>-3.0000000000000001E-3</v>
      </c>
      <c r="G77" s="75"/>
    </row>
    <row r="78" spans="1:7" ht="12.75" customHeight="1" x14ac:dyDescent="0.2">
      <c r="A78" s="75" t="s">
        <v>602</v>
      </c>
      <c r="B78" s="75"/>
      <c r="C78" s="76"/>
      <c r="D78" s="75"/>
      <c r="E78" s="75"/>
      <c r="F78" s="75"/>
    </row>
    <row r="79" spans="1:7" ht="12.75" customHeight="1" x14ac:dyDescent="0.2">
      <c r="A79" s="74" t="s">
        <v>8</v>
      </c>
      <c r="B79" t="s">
        <v>39</v>
      </c>
      <c r="C79" s="11">
        <v>0.16</v>
      </c>
    </row>
    <row r="80" spans="1:7" ht="12.75" customHeight="1" x14ac:dyDescent="0.2">
      <c r="A80" s="74" t="s">
        <v>8</v>
      </c>
      <c r="B80" t="s">
        <v>40</v>
      </c>
      <c r="C80" s="11">
        <v>7.0000000000000007E-2</v>
      </c>
      <c r="G80" s="212"/>
    </row>
    <row r="81" spans="1:11" ht="12.75" customHeight="1" x14ac:dyDescent="0.2">
      <c r="A81" s="74" t="s">
        <v>8</v>
      </c>
      <c r="B81" t="s">
        <v>41</v>
      </c>
      <c r="C81" s="11">
        <v>0.01</v>
      </c>
      <c r="G81" s="75"/>
    </row>
    <row r="82" spans="1:11" ht="12.75" customHeight="1" x14ac:dyDescent="0.2">
      <c r="A82" s="75" t="s">
        <v>602</v>
      </c>
      <c r="B82" s="75"/>
      <c r="C82" s="76"/>
      <c r="D82" s="75"/>
      <c r="E82" s="75"/>
      <c r="F82" s="75"/>
    </row>
    <row r="83" spans="1:11" ht="12.75" customHeight="1" x14ac:dyDescent="0.2">
      <c r="A83" s="74" t="s">
        <v>8</v>
      </c>
      <c r="B83" t="s">
        <v>42</v>
      </c>
      <c r="C83" s="11">
        <v>3.5000000000000003E-2</v>
      </c>
    </row>
    <row r="84" spans="1:11" ht="12.75" customHeight="1" x14ac:dyDescent="0.2">
      <c r="A84" s="74" t="s">
        <v>8</v>
      </c>
      <c r="B84" t="s">
        <v>43</v>
      </c>
      <c r="C84" s="11">
        <v>6.0000000000000001E-3</v>
      </c>
      <c r="G84" s="212"/>
    </row>
    <row r="85" spans="1:11" ht="12.75" customHeight="1" x14ac:dyDescent="0.2">
      <c r="A85" s="74" t="s">
        <v>8</v>
      </c>
      <c r="B85" t="s">
        <v>44</v>
      </c>
      <c r="C85" s="11">
        <v>5.3999999999999999E-2</v>
      </c>
      <c r="G85" s="75"/>
    </row>
    <row r="86" spans="1:11" ht="12.75" customHeight="1" x14ac:dyDescent="0.2">
      <c r="A86" s="75" t="s">
        <v>602</v>
      </c>
      <c r="B86" s="75"/>
      <c r="C86" s="76"/>
      <c r="D86" s="75"/>
      <c r="E86" s="75"/>
      <c r="F86" s="75"/>
      <c r="G86" s="212"/>
    </row>
    <row r="87" spans="1:11" ht="12.75" customHeight="1" x14ac:dyDescent="0.2">
      <c r="A87" s="74" t="s">
        <v>8</v>
      </c>
      <c r="B87" t="s">
        <v>45</v>
      </c>
      <c r="C87" s="4">
        <v>0.5</v>
      </c>
      <c r="G87" s="75"/>
    </row>
    <row r="88" spans="1:11" ht="12.75" customHeight="1" x14ac:dyDescent="0.2">
      <c r="A88" s="75" t="s">
        <v>602</v>
      </c>
      <c r="B88" s="75"/>
      <c r="C88" s="76"/>
      <c r="D88" s="75"/>
      <c r="E88" s="75"/>
      <c r="F88" s="75"/>
    </row>
    <row r="89" spans="1:11" ht="12.75" customHeight="1" x14ac:dyDescent="0.2">
      <c r="A89" s="74" t="s">
        <v>8</v>
      </c>
      <c r="B89" s="74" t="s">
        <v>618</v>
      </c>
      <c r="C89" s="8">
        <v>0</v>
      </c>
      <c r="E89" s="8"/>
    </row>
    <row r="90" spans="1:11" ht="12.75" customHeight="1" x14ac:dyDescent="0.2">
      <c r="A90" s="74" t="s">
        <v>8</v>
      </c>
      <c r="B90" s="74" t="s">
        <v>619</v>
      </c>
      <c r="C90" s="8">
        <v>0</v>
      </c>
      <c r="E90" s="8"/>
    </row>
    <row r="91" spans="1:11" ht="12.75" customHeight="1" x14ac:dyDescent="0.2">
      <c r="A91" s="74" t="s">
        <v>8</v>
      </c>
      <c r="B91" s="74" t="s">
        <v>620</v>
      </c>
      <c r="C91" s="100">
        <v>0</v>
      </c>
      <c r="E91" s="8"/>
      <c r="F91" s="8">
        <f>+C91</f>
        <v>0</v>
      </c>
    </row>
    <row r="92" spans="1:11" ht="12.75" customHeight="1" x14ac:dyDescent="0.2">
      <c r="A92" s="74" t="s">
        <v>8</v>
      </c>
      <c r="B92" s="74" t="s">
        <v>621</v>
      </c>
      <c r="C92" s="8">
        <v>0</v>
      </c>
      <c r="E92" s="8"/>
    </row>
    <row r="93" spans="1:11" ht="12.75" customHeight="1" x14ac:dyDescent="0.2">
      <c r="A93" s="74" t="s">
        <v>8</v>
      </c>
      <c r="B93" s="74" t="s">
        <v>649</v>
      </c>
      <c r="C93" s="8">
        <v>0</v>
      </c>
      <c r="E93" s="8"/>
    </row>
    <row r="94" spans="1:11" x14ac:dyDescent="0.2">
      <c r="A94" s="74" t="s">
        <v>8</v>
      </c>
      <c r="B94" s="74" t="s">
        <v>651</v>
      </c>
      <c r="C94" s="8">
        <f>C93/2</f>
        <v>0</v>
      </c>
      <c r="E94" s="8"/>
    </row>
    <row r="95" spans="1:11" x14ac:dyDescent="0.2">
      <c r="A95" s="74" t="s">
        <v>602</v>
      </c>
      <c r="B95" s="74"/>
      <c r="C95" s="8"/>
      <c r="E95" s="8"/>
      <c r="G95" s="175">
        <v>7582.51</v>
      </c>
      <c r="I95" s="175"/>
      <c r="J95" s="8">
        <f>53359.19-C96</f>
        <v>-956.68999999999505</v>
      </c>
      <c r="K95">
        <f>+J95/2</f>
        <v>-478.34499999999753</v>
      </c>
    </row>
    <row r="96" spans="1:11" x14ac:dyDescent="0.2">
      <c r="A96" s="74" t="s">
        <v>4</v>
      </c>
      <c r="B96" s="74" t="s">
        <v>606</v>
      </c>
      <c r="C96" s="8">
        <v>54315.88</v>
      </c>
      <c r="D96" s="8"/>
      <c r="F96" s="8">
        <f t="shared" ref="F96:F97" si="0">C96</f>
        <v>54315.88</v>
      </c>
      <c r="G96" s="175">
        <v>9099.01</v>
      </c>
      <c r="I96" s="175"/>
      <c r="J96">
        <f>C97*1.139</f>
        <v>74238.926560000007</v>
      </c>
      <c r="K96" s="8">
        <f>+C98-J96</f>
        <v>34392.813439999998</v>
      </c>
    </row>
    <row r="97" spans="1:11" x14ac:dyDescent="0.2">
      <c r="A97" s="74" t="s">
        <v>4</v>
      </c>
      <c r="B97" s="74" t="s">
        <v>808</v>
      </c>
      <c r="C97" s="8">
        <v>65179.040000000001</v>
      </c>
      <c r="D97" s="8"/>
      <c r="F97" s="8">
        <f t="shared" si="0"/>
        <v>65179.040000000001</v>
      </c>
      <c r="G97" s="175">
        <v>15165.02</v>
      </c>
      <c r="I97" s="175"/>
      <c r="J97">
        <f>+C98/2</f>
        <v>54315.87</v>
      </c>
    </row>
    <row r="98" spans="1:11" x14ac:dyDescent="0.2">
      <c r="A98" s="74" t="s">
        <v>4</v>
      </c>
      <c r="B98" s="74" t="s">
        <v>607</v>
      </c>
      <c r="C98" s="8">
        <v>108631.74</v>
      </c>
      <c r="D98" s="8"/>
      <c r="F98" s="8">
        <v>108631.74</v>
      </c>
      <c r="G98" s="175">
        <v>335.93</v>
      </c>
      <c r="I98" s="175"/>
      <c r="K98">
        <f>+C99*5</f>
        <v>12632.5</v>
      </c>
    </row>
    <row r="99" spans="1:11" x14ac:dyDescent="0.2">
      <c r="A99" s="74" t="s">
        <v>4</v>
      </c>
      <c r="B99" s="74" t="s">
        <v>608</v>
      </c>
      <c r="C99" s="8">
        <v>2526.5</v>
      </c>
      <c r="D99" s="8"/>
      <c r="F99" s="8">
        <f t="shared" ref="F99:F101" si="1">C99</f>
        <v>2526.5</v>
      </c>
      <c r="G99" s="175">
        <v>758.26</v>
      </c>
      <c r="I99" s="175"/>
      <c r="J99">
        <f t="shared" ref="J99:J100" si="2">C100*1.139</f>
        <v>5303.5712600000006</v>
      </c>
    </row>
    <row r="100" spans="1:11" x14ac:dyDescent="0.2">
      <c r="A100" s="74" t="s">
        <v>4</v>
      </c>
      <c r="B100" s="74" t="s">
        <v>650</v>
      </c>
      <c r="C100" s="8">
        <v>4656.34</v>
      </c>
      <c r="D100" s="8"/>
      <c r="F100" s="8">
        <f t="shared" si="1"/>
        <v>4656.34</v>
      </c>
      <c r="G100" s="175">
        <v>379.13</v>
      </c>
      <c r="I100" s="175"/>
      <c r="J100">
        <f t="shared" si="2"/>
        <v>2651.7856300000003</v>
      </c>
      <c r="K100">
        <f>+J100*2</f>
        <v>5303.5712600000006</v>
      </c>
    </row>
    <row r="101" spans="1:11" x14ac:dyDescent="0.2">
      <c r="A101" s="74" t="s">
        <v>4</v>
      </c>
      <c r="B101" s="74" t="s">
        <v>652</v>
      </c>
      <c r="C101" s="8">
        <v>2328.17</v>
      </c>
      <c r="D101" s="8"/>
      <c r="F101" s="8">
        <f t="shared" si="1"/>
        <v>2328.17</v>
      </c>
    </row>
    <row r="102" spans="1:11" x14ac:dyDescent="0.2">
      <c r="A102" s="74" t="s">
        <v>4</v>
      </c>
      <c r="B102" s="74" t="s">
        <v>622</v>
      </c>
      <c r="C102" s="8">
        <v>-1270.1600000000001</v>
      </c>
    </row>
    <row r="103" spans="1:11" x14ac:dyDescent="0.2">
      <c r="A103" s="74" t="s">
        <v>4</v>
      </c>
      <c r="B103" t="s">
        <v>612</v>
      </c>
      <c r="C103" s="8">
        <v>-3700</v>
      </c>
    </row>
    <row r="104" spans="1:11" x14ac:dyDescent="0.2">
      <c r="A104" s="74" t="s">
        <v>4</v>
      </c>
      <c r="B104" t="s">
        <v>831</v>
      </c>
      <c r="C104" s="221">
        <v>0.1</v>
      </c>
    </row>
    <row r="105" spans="1:11" x14ac:dyDescent="0.2">
      <c r="A105" s="74" t="s">
        <v>4</v>
      </c>
      <c r="B105" s="74" t="s">
        <v>832</v>
      </c>
      <c r="C105" s="221">
        <v>4.5999999999999999E-2</v>
      </c>
    </row>
    <row r="106" spans="1:11" x14ac:dyDescent="0.2">
      <c r="A106" s="74" t="s">
        <v>4</v>
      </c>
      <c r="B106" t="s">
        <v>833</v>
      </c>
      <c r="C106" s="221">
        <v>0.81499999999999995</v>
      </c>
    </row>
  </sheetData>
  <autoFilter ref="A1:J103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332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6" sqref="A6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4.425781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7.85546875" style="107" customWidth="1"/>
    <col min="16" max="16" width="9.140625" style="107" customWidth="1"/>
    <col min="17" max="17" width="7.140625" style="107" customWidth="1"/>
    <col min="18" max="18" width="8.5703125" style="107" customWidth="1"/>
    <col min="19" max="19" width="8.14062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42578125" style="107" customWidth="1"/>
    <col min="31" max="31" width="4.42578125" style="115" hidden="1" customWidth="1"/>
    <col min="32" max="32" width="6.140625" style="107" customWidth="1"/>
    <col min="33" max="34" width="8.140625" style="107" customWidth="1"/>
    <col min="35" max="35" width="10.140625" style="107" customWidth="1"/>
    <col min="36" max="36" width="9.42578125" style="107" customWidth="1"/>
    <col min="37" max="37" width="9.42578125" style="107" hidden="1" customWidth="1"/>
    <col min="38" max="38" width="9.42578125" style="109" hidden="1" customWidth="1"/>
    <col min="39" max="39" width="7.7109375" style="109" hidden="1" customWidth="1"/>
    <col min="40" max="40" width="8.28515625" style="109" customWidth="1"/>
    <col min="41" max="41" width="7.28515625" style="107" customWidth="1"/>
    <col min="42" max="42" width="8.42578125" style="107" customWidth="1"/>
    <col min="43" max="43" width="7.7109375" style="107" customWidth="1"/>
    <col min="44" max="44" width="7.42578125" style="107" customWidth="1"/>
    <col min="45" max="45" width="9" style="107" customWidth="1"/>
    <col min="46" max="46" width="10.85546875" style="107" customWidth="1"/>
    <col min="47" max="48" width="9.7109375" style="108" customWidth="1"/>
    <col min="49" max="49" width="8" style="108" customWidth="1"/>
    <col min="50" max="50" width="9.7109375" style="107" customWidth="1"/>
    <col min="51" max="58" width="9.7109375" style="108" customWidth="1"/>
    <col min="59" max="59" width="5" style="105" customWidth="1"/>
    <col min="60" max="60" width="3.7109375" style="105" customWidth="1"/>
    <col min="61" max="61" width="3.42578125" style="110" customWidth="1"/>
    <col min="62" max="62" width="9.85546875" style="111" customWidth="1"/>
    <col min="63" max="1029" width="11.42578125" style="111" customWidth="1"/>
    <col min="1030" max="16384" width="9.140625" style="112"/>
  </cols>
  <sheetData>
    <row r="1" spans="1:1029" ht="35.25" customHeight="1" x14ac:dyDescent="0.2">
      <c r="A1" s="225" t="str">
        <f ca="1">CONCATENATE(Valores!M16,"  ",Valores!M15)</f>
        <v>FEBRERO  2024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106"/>
      <c r="AP1" s="106"/>
    </row>
    <row r="2" spans="1:1029" ht="11.25" customHeight="1" x14ac:dyDescent="0.2">
      <c r="A2" s="134" t="s">
        <v>46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L2" s="107"/>
      <c r="AM2" s="107"/>
      <c r="AN2" s="227"/>
      <c r="BI2" s="116">
        <f>(((F139+S139)*1.15)+O139+P139+Q139+AA139+AD139)*0.05</f>
        <v>13300.823800000002</v>
      </c>
    </row>
    <row r="3" spans="1:1029" ht="11.25" customHeight="1" x14ac:dyDescent="0.25">
      <c r="A3" s="134" t="s">
        <v>48</v>
      </c>
      <c r="B3" s="134"/>
      <c r="C3" s="188"/>
      <c r="D3" s="134"/>
      <c r="E3" s="191"/>
      <c r="F3" s="133" t="s">
        <v>8</v>
      </c>
      <c r="G3" s="228" t="s">
        <v>47</v>
      </c>
      <c r="H3" s="228"/>
      <c r="I3" s="229">
        <f>Valores!C2</f>
        <v>77.596699999999998</v>
      </c>
      <c r="J3" s="229"/>
      <c r="K3" s="199"/>
      <c r="L3" s="177" t="e">
        <f>VLOOKUP(K3,Valores!L17:M28,2,)</f>
        <v>#N/A</v>
      </c>
      <c r="M3" s="176"/>
      <c r="N3" s="177"/>
      <c r="O3" s="234" t="s">
        <v>838</v>
      </c>
      <c r="P3" s="234"/>
      <c r="Q3" s="234"/>
      <c r="R3" s="234"/>
      <c r="S3" s="234"/>
      <c r="T3" s="234"/>
      <c r="U3" s="234"/>
      <c r="V3" s="234"/>
      <c r="X3" s="240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Y3" s="240"/>
      <c r="Z3" s="240"/>
      <c r="AA3" s="240"/>
      <c r="AB3" s="240"/>
      <c r="AC3" s="240"/>
      <c r="AD3" s="240"/>
      <c r="AE3" s="240"/>
      <c r="AF3" s="240"/>
      <c r="AG3" s="240"/>
      <c r="AH3" s="220"/>
      <c r="AL3" s="117" t="s">
        <v>4</v>
      </c>
      <c r="AM3" s="118"/>
      <c r="AN3" s="227"/>
      <c r="AO3" s="117" t="s">
        <v>4</v>
      </c>
      <c r="AP3" s="118"/>
      <c r="AQ3" s="119">
        <f>Valores!C2</f>
        <v>77.596699999999998</v>
      </c>
      <c r="AR3" s="120"/>
      <c r="AS3" s="120"/>
      <c r="AT3" s="120"/>
      <c r="AU3" s="121"/>
      <c r="AV3" s="121"/>
      <c r="AW3" s="121"/>
      <c r="AX3" s="120"/>
      <c r="AY3" s="121"/>
      <c r="AZ3" s="121"/>
      <c r="BA3" s="121"/>
      <c r="BB3" s="121"/>
      <c r="BC3" s="121"/>
      <c r="BD3" s="121"/>
      <c r="BE3" s="121"/>
      <c r="BF3" s="121"/>
    </row>
    <row r="4" spans="1:1029" ht="11.25" customHeight="1" x14ac:dyDescent="0.25">
      <c r="A4" s="231" t="s">
        <v>615</v>
      </c>
      <c r="B4" s="232"/>
      <c r="C4" s="232"/>
      <c r="D4" s="233"/>
      <c r="E4" s="191"/>
      <c r="F4" s="133" t="s">
        <v>8</v>
      </c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20"/>
      <c r="AJ4" s="74"/>
      <c r="AK4" s="74"/>
      <c r="AN4" s="122"/>
      <c r="AO4" s="117" t="s">
        <v>8</v>
      </c>
      <c r="AP4" s="118"/>
      <c r="AQ4" s="120"/>
      <c r="AR4" s="120"/>
      <c r="AS4" s="120"/>
      <c r="AT4" s="120"/>
      <c r="AU4" s="121"/>
      <c r="AV4" s="121"/>
      <c r="AW4" s="121"/>
      <c r="AX4" s="120"/>
      <c r="AY4" s="121"/>
      <c r="AZ4" s="121"/>
      <c r="BA4" s="121"/>
      <c r="BB4" s="121"/>
      <c r="BC4" s="121"/>
      <c r="BD4" s="121"/>
      <c r="BE4" s="121"/>
      <c r="BF4" s="121"/>
    </row>
    <row r="5" spans="1:1029" ht="11.25" customHeight="1" x14ac:dyDescent="0.25">
      <c r="A5" s="231" t="s">
        <v>610</v>
      </c>
      <c r="B5" s="232"/>
      <c r="C5" s="232"/>
      <c r="D5" s="233"/>
      <c r="E5" s="191"/>
      <c r="F5" s="161">
        <v>0</v>
      </c>
      <c r="H5" s="217" t="s">
        <v>809</v>
      </c>
      <c r="P5" s="217" t="s">
        <v>809</v>
      </c>
      <c r="R5" s="217" t="s">
        <v>809</v>
      </c>
      <c r="T5" s="217" t="s">
        <v>809</v>
      </c>
      <c r="AC5" s="217" t="s">
        <v>809</v>
      </c>
      <c r="AG5" s="217" t="s">
        <v>809</v>
      </c>
      <c r="AJ5" s="222" t="s">
        <v>837</v>
      </c>
      <c r="AK5" s="222"/>
      <c r="AN5" s="122"/>
      <c r="AO5" s="117"/>
      <c r="AP5" s="118"/>
      <c r="AQ5" s="120"/>
      <c r="AR5" s="120"/>
      <c r="AS5" s="120"/>
      <c r="AT5" s="120"/>
      <c r="AU5" s="121"/>
      <c r="AV5" s="121"/>
      <c r="AW5" s="121"/>
      <c r="AX5" s="120"/>
      <c r="AY5" s="121"/>
      <c r="AZ5" s="121"/>
      <c r="BA5" s="121"/>
      <c r="BB5" s="121"/>
      <c r="BC5" s="121"/>
      <c r="BD5" s="121"/>
      <c r="BE5" s="121"/>
      <c r="BF5" s="121"/>
    </row>
    <row r="6" spans="1:1029" s="147" customFormat="1" ht="48.75" customHeight="1" x14ac:dyDescent="0.2">
      <c r="A6" s="183"/>
      <c r="B6" s="184"/>
      <c r="C6" s="184"/>
      <c r="D6" s="183"/>
      <c r="E6" s="235" t="s">
        <v>49</v>
      </c>
      <c r="F6" s="236"/>
      <c r="G6" s="237" t="s">
        <v>50</v>
      </c>
      <c r="H6" s="237"/>
      <c r="I6" s="238" t="s">
        <v>51</v>
      </c>
      <c r="J6" s="238"/>
      <c r="K6" s="230" t="s">
        <v>52</v>
      </c>
      <c r="L6" s="230"/>
      <c r="M6" s="150" t="s">
        <v>53</v>
      </c>
      <c r="N6" s="151" t="s">
        <v>54</v>
      </c>
      <c r="O6" s="150" t="s">
        <v>55</v>
      </c>
      <c r="P6" s="169" t="str">
        <f>CONCATENATE("Est. Doc (tope ",TEXT(Valores!D5,"$0.000,00"),")")</f>
        <v>Est. Doc (tope $39.667,43)</v>
      </c>
      <c r="Q6" s="150" t="s">
        <v>56</v>
      </c>
      <c r="R6" s="169" t="str">
        <f>CONCATENATE("Gtos. Inh. Lab. Doc. (tope ",TEXT(Valores!F47,"$0.000,00"),")")</f>
        <v>Gtos. Inh. Lab. Doc. (tope $48.169,84)</v>
      </c>
      <c r="S6" s="151" t="s">
        <v>57</v>
      </c>
      <c r="T6" s="150" t="s">
        <v>57</v>
      </c>
      <c r="U6" s="150" t="s">
        <v>58</v>
      </c>
      <c r="V6" s="150" t="s">
        <v>59</v>
      </c>
      <c r="W6" s="239" t="s">
        <v>60</v>
      </c>
      <c r="X6" s="239"/>
      <c r="Y6" s="150" t="s">
        <v>61</v>
      </c>
      <c r="Z6" s="159" t="str">
        <f>CONCATENATE("Bonif. Compensatoria Rem. (tope ",TEXT(Valores!F98,"$0.000,00"),")")</f>
        <v>Bonif. Compensatoria Rem. (tope $108.631,74)</v>
      </c>
      <c r="AA6" s="159" t="str">
        <f>CONCATENATE("Ad R Doc (tope ",TEXT(Valores!F25,"$0,00"),")")</f>
        <v>Ad R Doc (tope $2434,81)</v>
      </c>
      <c r="AB6" s="159" t="s">
        <v>690</v>
      </c>
      <c r="AC6" s="150" t="s">
        <v>62</v>
      </c>
      <c r="AD6" s="158" t="str">
        <f>CONCATENATE("Nuevo  A.R.D. (tope ",TEXT(Valores!F26,"$0,00"),")")</f>
        <v>Nuevo  A.R.D. (tope $1622,32)</v>
      </c>
      <c r="AE6" s="230" t="s">
        <v>63</v>
      </c>
      <c r="AF6" s="230"/>
      <c r="AG6" s="158" t="str">
        <f>CONCATENATE("Ap Mat Did Rem. (tope ",TEXT(Valores!F64,"$0.000,00"),")")</f>
        <v>Ap Mat Did Rem. (tope $37.094,62)</v>
      </c>
      <c r="AH6" s="158" t="s">
        <v>831</v>
      </c>
      <c r="AI6" s="150" t="s">
        <v>64</v>
      </c>
      <c r="AJ6" s="223" t="str">
        <f>CONCATENATE("Compensación Provincial Pérdida Incentivo Docente (tope ",TEXT(Valores!F33,"$0,00"),")")</f>
        <v>Compensación Provincial Pérdida Incentivo Docente (tope $70000,00)</v>
      </c>
      <c r="AK6" s="158" t="s">
        <v>836</v>
      </c>
      <c r="AL6" s="158" t="str">
        <f>CONCATENATE("Bonif. Compensatoria No Rem. (tope ",TEXT(Valores!C91,"$0,00"),")")</f>
        <v>Bonif. Compensatoria No Rem. (tope $0,00)</v>
      </c>
      <c r="AM6" s="158" t="str">
        <f>CONCATENATE("Adic Extr. (tope ",TEXT(Valores!F39,"$0.000,00"),")")</f>
        <v>Adic Extr. (tope $0.000,00)</v>
      </c>
      <c r="AN6" s="159" t="str">
        <f>CONCATENATE("Adel Inc Docente (tope ",TEXT(Valores!C56,"$0,00"),")")</f>
        <v>Adel Inc Docente (tope $327,60)</v>
      </c>
      <c r="AO6" s="150" t="s">
        <v>65</v>
      </c>
      <c r="AP6" s="152" t="s">
        <v>66</v>
      </c>
      <c r="AQ6" s="152" t="s">
        <v>829</v>
      </c>
      <c r="AR6" s="152" t="s">
        <v>67</v>
      </c>
      <c r="AS6" s="152" t="s">
        <v>611</v>
      </c>
      <c r="AT6" s="152" t="s">
        <v>612</v>
      </c>
      <c r="AU6" s="159" t="s">
        <v>68</v>
      </c>
      <c r="AV6" s="152" t="str">
        <f>AP6</f>
        <v>Ap Pers Jub</v>
      </c>
      <c r="AW6" s="152" t="s">
        <v>829</v>
      </c>
      <c r="AX6" s="152" t="s">
        <v>813</v>
      </c>
      <c r="AY6" s="152" t="s">
        <v>815</v>
      </c>
      <c r="AZ6" s="159" t="s">
        <v>623</v>
      </c>
      <c r="BA6" s="152" t="s">
        <v>818</v>
      </c>
      <c r="BB6" s="152" t="s">
        <v>819</v>
      </c>
      <c r="BC6" s="219" t="s">
        <v>821</v>
      </c>
      <c r="BD6" s="219" t="s">
        <v>827</v>
      </c>
      <c r="BE6" s="152" t="s">
        <v>825</v>
      </c>
      <c r="BF6" s="152" t="s">
        <v>823</v>
      </c>
      <c r="BG6" s="152" t="s">
        <v>69</v>
      </c>
      <c r="BH6" s="152" t="s">
        <v>70</v>
      </c>
      <c r="BI6" s="152" t="s">
        <v>71</v>
      </c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  <c r="AMG6" s="145"/>
      <c r="AMH6" s="145"/>
      <c r="AMI6" s="145"/>
      <c r="AMJ6" s="145"/>
      <c r="AMK6" s="145"/>
      <c r="AML6" s="145"/>
      <c r="AMM6" s="145"/>
      <c r="AMN6" s="145"/>
      <c r="AMO6" s="145"/>
    </row>
    <row r="7" spans="1:1029" s="145" customFormat="1" ht="12.75" customHeight="1" x14ac:dyDescent="0.2">
      <c r="A7" s="185" t="s">
        <v>72</v>
      </c>
      <c r="B7" s="186"/>
      <c r="C7" s="189" t="s">
        <v>655</v>
      </c>
      <c r="D7" s="187" t="s">
        <v>73</v>
      </c>
      <c r="E7" s="148" t="s">
        <v>74</v>
      </c>
      <c r="F7" s="149" t="s">
        <v>75</v>
      </c>
      <c r="G7" s="190" t="s">
        <v>76</v>
      </c>
      <c r="H7" s="153" t="s">
        <v>77</v>
      </c>
      <c r="I7" s="154" t="s">
        <v>78</v>
      </c>
      <c r="J7" s="153" t="s">
        <v>79</v>
      </c>
      <c r="K7" s="155" t="s">
        <v>80</v>
      </c>
      <c r="L7" s="153" t="s">
        <v>81</v>
      </c>
      <c r="M7" s="153" t="s">
        <v>82</v>
      </c>
      <c r="N7" s="153" t="s">
        <v>83</v>
      </c>
      <c r="O7" s="153" t="s">
        <v>84</v>
      </c>
      <c r="P7" s="153" t="s">
        <v>85</v>
      </c>
      <c r="Q7" s="153" t="s">
        <v>86</v>
      </c>
      <c r="R7" s="153" t="s">
        <v>87</v>
      </c>
      <c r="S7" s="153" t="s">
        <v>88</v>
      </c>
      <c r="T7" s="153" t="s">
        <v>88</v>
      </c>
      <c r="U7" s="153" t="s">
        <v>89</v>
      </c>
      <c r="V7" s="153" t="s">
        <v>90</v>
      </c>
      <c r="W7" s="156" t="s">
        <v>91</v>
      </c>
      <c r="X7" s="153" t="s">
        <v>92</v>
      </c>
      <c r="Y7" s="153" t="s">
        <v>93</v>
      </c>
      <c r="Z7" s="153" t="s">
        <v>609</v>
      </c>
      <c r="AA7" s="157" t="s">
        <v>94</v>
      </c>
      <c r="AB7" s="157"/>
      <c r="AC7" s="157" t="s">
        <v>95</v>
      </c>
      <c r="AD7" s="153" t="s">
        <v>96</v>
      </c>
      <c r="AE7" s="156" t="s">
        <v>97</v>
      </c>
      <c r="AF7" s="153" t="s">
        <v>98</v>
      </c>
      <c r="AG7" s="153" t="s">
        <v>99</v>
      </c>
      <c r="AH7" s="153" t="s">
        <v>834</v>
      </c>
      <c r="AI7" s="151" t="s">
        <v>100</v>
      </c>
      <c r="AJ7" s="153" t="s">
        <v>840</v>
      </c>
      <c r="AK7" s="153" t="s">
        <v>835</v>
      </c>
      <c r="AL7" s="157" t="s">
        <v>601</v>
      </c>
      <c r="AM7" s="182" t="s">
        <v>682</v>
      </c>
      <c r="AN7" s="157" t="s">
        <v>101</v>
      </c>
      <c r="AO7" s="150" t="s">
        <v>102</v>
      </c>
      <c r="AP7" s="152" t="s">
        <v>103</v>
      </c>
      <c r="AQ7" s="152" t="s">
        <v>830</v>
      </c>
      <c r="AR7" s="153" t="s">
        <v>104</v>
      </c>
      <c r="AS7" s="160" t="s">
        <v>613</v>
      </c>
      <c r="AT7" s="160" t="s">
        <v>614</v>
      </c>
      <c r="AU7" s="151"/>
      <c r="AV7" s="152" t="str">
        <f t="shared" ref="AV7:AV70" si="0">AP7</f>
        <v>C660060</v>
      </c>
      <c r="AW7" s="152" t="s">
        <v>830</v>
      </c>
      <c r="AX7" s="171" t="s">
        <v>814</v>
      </c>
      <c r="AY7" s="171" t="s">
        <v>816</v>
      </c>
      <c r="AZ7" s="170"/>
      <c r="BA7" s="171" t="s">
        <v>817</v>
      </c>
      <c r="BB7" s="171" t="s">
        <v>820</v>
      </c>
      <c r="BC7" s="171" t="s">
        <v>822</v>
      </c>
      <c r="BD7" s="171" t="s">
        <v>828</v>
      </c>
      <c r="BE7" s="171" t="s">
        <v>826</v>
      </c>
      <c r="BF7" s="171" t="s">
        <v>824</v>
      </c>
      <c r="BG7" s="146"/>
      <c r="BH7" s="146"/>
      <c r="BI7" s="146"/>
    </row>
    <row r="8" spans="1:1029" s="110" customFormat="1" ht="11.25" customHeight="1" x14ac:dyDescent="0.15">
      <c r="A8" s="123" t="s">
        <v>105</v>
      </c>
      <c r="B8" s="123">
        <v>1</v>
      </c>
      <c r="C8" s="126">
        <v>1</v>
      </c>
      <c r="D8" s="124" t="s">
        <v>106</v>
      </c>
      <c r="E8" s="192">
        <v>107</v>
      </c>
      <c r="F8" s="125">
        <f>ROUND(E8*Valores!$C$2,2)</f>
        <v>8302.85</v>
      </c>
      <c r="G8" s="192">
        <v>3779</v>
      </c>
      <c r="H8" s="125">
        <f>ROUND(G8*Valores!$C$2,2)</f>
        <v>293237.93</v>
      </c>
      <c r="I8" s="192">
        <v>219</v>
      </c>
      <c r="J8" s="125">
        <f>ROUND(I8*Valores!$C$2,2)</f>
        <v>16993.68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88074.45</v>
      </c>
      <c r="N8" s="125">
        <f t="shared" ref="N8:N71" si="1">ROUND(SUM(F8,H8,J8,L8,X8,R8)*$H$2,2)</f>
        <v>0</v>
      </c>
      <c r="O8" s="125">
        <f>Valores!$C$11</f>
        <v>69186.37</v>
      </c>
      <c r="P8" s="125">
        <f>Valores!$D$5</f>
        <v>39667.43</v>
      </c>
      <c r="Q8" s="125">
        <v>0</v>
      </c>
      <c r="R8" s="125">
        <f>IF($F$4="NO",Valores!$C$47,Valores!$C$47/2)</f>
        <v>33763.35</v>
      </c>
      <c r="S8" s="125">
        <v>0</v>
      </c>
      <c r="T8" s="125">
        <f>ROUND(S8*(1+$H$2),2)</f>
        <v>0</v>
      </c>
      <c r="U8" s="125">
        <f>SUM(F8,H8,J8)</f>
        <v>318534.45999999996</v>
      </c>
      <c r="V8" s="125">
        <f>INT((SUM(F8,H8,J8)*0.4*100)+0.49)/100</f>
        <v>127413.78</v>
      </c>
      <c r="W8" s="192">
        <v>0</v>
      </c>
      <c r="X8" s="125">
        <f>ROUND(W8*Valores!$C$2,2)</f>
        <v>0</v>
      </c>
      <c r="Y8" s="125">
        <v>0</v>
      </c>
      <c r="Z8" s="125">
        <f>Valores!$C$96</f>
        <v>54315.88</v>
      </c>
      <c r="AA8" s="125">
        <f>Valores!$C$25</f>
        <v>1622.32</v>
      </c>
      <c r="AB8" s="214">
        <v>0</v>
      </c>
      <c r="AC8" s="125">
        <f t="shared" ref="AC8:AC71" si="2">ROUND(SUM(F8,H8,J8,X8,R8)*AB8,2)</f>
        <v>0</v>
      </c>
      <c r="AD8" s="125">
        <f>Valores!$C$26</f>
        <v>1622.32</v>
      </c>
      <c r="AE8" s="192">
        <v>0</v>
      </c>
      <c r="AF8" s="125">
        <f>ROUND(AE8*Valores!$C$2,2)</f>
        <v>0</v>
      </c>
      <c r="AG8" s="125">
        <f>ROUND(IF($F$4="NO",Valores!$C$64,Valores!$C$64/2),2)</f>
        <v>18547.32</v>
      </c>
      <c r="AH8" s="125">
        <f>SUM(F8,H8,J8,L8,M8,N8,O8,P8,Q8,R8,T8,U8,V8,X8,Y8,Z8,AA8,AC8,AD8,AF8,AG8)*Valores!$C$104</f>
        <v>107128.21400000002</v>
      </c>
      <c r="AI8" s="125">
        <f t="shared" ref="AI8:AI72" si="3">SUM(F8,H8,J8,L8,M8,N8,O8,P8,Q8,R8,T8,U8,V8,X8,Y8,Z8,AA8,AC8,AD8,AF8,AG8,AH8)</f>
        <v>1178410.3540000001</v>
      </c>
      <c r="AJ8" s="125">
        <f>Valores!$C$32</f>
        <v>70000</v>
      </c>
      <c r="AK8" s="125">
        <v>0</v>
      </c>
      <c r="AL8" s="125">
        <f>Valores!$C$89</f>
        <v>0</v>
      </c>
      <c r="AM8" s="125">
        <f>Valores!C$39*B8</f>
        <v>0</v>
      </c>
      <c r="AN8" s="125">
        <f>IF($F$3="NO",0,Valores!$C$56)</f>
        <v>0</v>
      </c>
      <c r="AO8" s="125">
        <f t="shared" ref="AO8:AO71" si="4">SUM(AJ8:AN8)</f>
        <v>70000</v>
      </c>
      <c r="AP8" s="125">
        <f>AI8*Valores!$C$72</f>
        <v>-129625.13894</v>
      </c>
      <c r="AQ8" s="125">
        <f>IF(AI8&lt;Valores!$E$73,-0.02,IF(AI8&lt;Valores!$F$73,-0.03,-0.04))*AI8</f>
        <v>-47136.41416</v>
      </c>
      <c r="AR8" s="125">
        <f>AI8*Valores!$C$75</f>
        <v>-64812.569470000002</v>
      </c>
      <c r="AS8" s="125">
        <f>Valores!$C$102</f>
        <v>-1270.1600000000001</v>
      </c>
      <c r="AT8" s="125">
        <f>IF($F$5=0,Valores!$C$103,(Valores!$C$103+$F$5*(Valores!$C$103)))</f>
        <v>-3700</v>
      </c>
      <c r="AU8" s="125">
        <f>AI8+AO8+SUM(AP8:AT8)</f>
        <v>1001866.07143</v>
      </c>
      <c r="AV8" s="125">
        <f t="shared" si="0"/>
        <v>-129625.13894</v>
      </c>
      <c r="AW8" s="125">
        <f>AQ8</f>
        <v>-47136.41416</v>
      </c>
      <c r="AX8" s="125">
        <f>AI8*Valores!$C$76</f>
        <v>-31817.079558000001</v>
      </c>
      <c r="AY8" s="125">
        <f>AI8*Valores!$C$77</f>
        <v>-3535.2310620000003</v>
      </c>
      <c r="AZ8" s="125">
        <f t="shared" ref="AZ8:AZ71" si="5">AI8+AO8+SUM(AV8:AY8)</f>
        <v>1036296.49028</v>
      </c>
      <c r="BA8" s="125">
        <f>AI8*Valores!$C$79</f>
        <v>188545.65664</v>
      </c>
      <c r="BB8" s="125">
        <f>AI8*Valores!$C$80</f>
        <v>82488.724780000004</v>
      </c>
      <c r="BC8" s="125">
        <f>AI8*Valores!$C$81</f>
        <v>11784.10354</v>
      </c>
      <c r="BD8" s="125">
        <f>AI8*Valores!$C$83</f>
        <v>41244.362390000002</v>
      </c>
      <c r="BE8" s="125">
        <f>AI8*Valores!$C$85</f>
        <v>63634.159116000003</v>
      </c>
      <c r="BF8" s="125">
        <f>AI8*Valores!$C$84</f>
        <v>7070.4621240000006</v>
      </c>
      <c r="BG8" s="126">
        <v>33</v>
      </c>
      <c r="BH8" s="126">
        <v>45</v>
      </c>
      <c r="BI8" s="123" t="s">
        <v>8</v>
      </c>
    </row>
    <row r="9" spans="1:1029" s="110" customFormat="1" ht="11.25" customHeight="1" x14ac:dyDescent="0.15">
      <c r="A9" s="123" t="s">
        <v>107</v>
      </c>
      <c r="B9" s="123">
        <v>1</v>
      </c>
      <c r="C9" s="126">
        <v>2</v>
      </c>
      <c r="D9" s="124" t="s">
        <v>108</v>
      </c>
      <c r="E9" s="192">
        <v>107</v>
      </c>
      <c r="F9" s="125">
        <f>ROUND(E9*Valores!$C$2,2)</f>
        <v>8302.85</v>
      </c>
      <c r="G9" s="192">
        <v>3779</v>
      </c>
      <c r="H9" s="125">
        <f>ROUND(G9*Valores!$C$2,2)</f>
        <v>293237.93</v>
      </c>
      <c r="I9" s="192">
        <v>219</v>
      </c>
      <c r="J9" s="125">
        <f>ROUND(I9*Valores!$C$2,2)</f>
        <v>16993.68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88074.45</v>
      </c>
      <c r="N9" s="125">
        <f t="shared" si="1"/>
        <v>0</v>
      </c>
      <c r="O9" s="125">
        <f>Valores!$C$11</f>
        <v>69186.37</v>
      </c>
      <c r="P9" s="125">
        <f>Valores!$D$5</f>
        <v>39667.43</v>
      </c>
      <c r="Q9" s="125">
        <v>0</v>
      </c>
      <c r="R9" s="125">
        <f>IF($F$4="NO",Valores!$C$47,Valores!$C$47/2)</f>
        <v>33763.35</v>
      </c>
      <c r="S9" s="125">
        <v>0</v>
      </c>
      <c r="T9" s="125">
        <f>ROUND(S9*(1+$H$2),2)</f>
        <v>0</v>
      </c>
      <c r="U9" s="125">
        <f>SUM(F9,H9,J9)</f>
        <v>318534.45999999996</v>
      </c>
      <c r="V9" s="125">
        <f>INT((SUM(F9,H9,J9)*0.4*100)+0.49)/100</f>
        <v>127413.78</v>
      </c>
      <c r="W9" s="192">
        <v>0</v>
      </c>
      <c r="X9" s="125">
        <f>ROUND(W9*Valores!$C$2,2)</f>
        <v>0</v>
      </c>
      <c r="Y9" s="125">
        <v>0</v>
      </c>
      <c r="Z9" s="125">
        <f>Valores!$C$96</f>
        <v>54315.88</v>
      </c>
      <c r="AA9" s="125">
        <f>Valores!$C$25</f>
        <v>1622.32</v>
      </c>
      <c r="AB9" s="214">
        <v>0</v>
      </c>
      <c r="AC9" s="125">
        <f t="shared" si="2"/>
        <v>0</v>
      </c>
      <c r="AD9" s="125">
        <f>Valores!$C$26</f>
        <v>1622.32</v>
      </c>
      <c r="AE9" s="192">
        <v>0</v>
      </c>
      <c r="AF9" s="125">
        <f>ROUND(AE9*Valores!$C$2,2)</f>
        <v>0</v>
      </c>
      <c r="AG9" s="125">
        <f>ROUND(IF($F$4="NO",Valores!$C$64,Valores!$C$64/2),2)</f>
        <v>18547.32</v>
      </c>
      <c r="AH9" s="125">
        <f>SUM(F9,H9,J9,L9,M9,N9,O9,P9,Q9,R9,T9,U9,V9,X9,Y9,Z9,AA9,AC9,AD9,AF9,AG9)*Valores!$C$104</f>
        <v>107128.21400000002</v>
      </c>
      <c r="AI9" s="125">
        <f t="shared" si="3"/>
        <v>1178410.3540000001</v>
      </c>
      <c r="AJ9" s="125">
        <f>Valores!$C$32</f>
        <v>70000</v>
      </c>
      <c r="AK9" s="125">
        <v>0</v>
      </c>
      <c r="AL9" s="125">
        <f>Valores!$C$89</f>
        <v>0</v>
      </c>
      <c r="AM9" s="125">
        <f>Valores!C$39*B9</f>
        <v>0</v>
      </c>
      <c r="AN9" s="125">
        <f>IF($F$3="NO",0,Valores!$C$56)</f>
        <v>0</v>
      </c>
      <c r="AO9" s="125">
        <f t="shared" si="4"/>
        <v>70000</v>
      </c>
      <c r="AP9" s="125">
        <f>AI9*Valores!$C$72</f>
        <v>-129625.13894</v>
      </c>
      <c r="AQ9" s="125">
        <f>IF(AI9&lt;Valores!$E$73,-0.02,IF(AI9&lt;Valores!$F$73,-0.03,-0.04))*AI9</f>
        <v>-47136.41416</v>
      </c>
      <c r="AR9" s="125">
        <f>AI9*Valores!$C$75</f>
        <v>-64812.569470000002</v>
      </c>
      <c r="AS9" s="125">
        <f>Valores!$C$102</f>
        <v>-1270.1600000000001</v>
      </c>
      <c r="AT9" s="125">
        <f>IF($F$5=0,Valores!$C$103,(Valores!$C$103+$F$5*(Valores!$C$103)))</f>
        <v>-3700</v>
      </c>
      <c r="AU9" s="125">
        <f t="shared" ref="AU9:AU72" si="6">AI9+SUM(AO9:AT9)</f>
        <v>1001866.07143</v>
      </c>
      <c r="AV9" s="125">
        <f t="shared" si="0"/>
        <v>-129625.13894</v>
      </c>
      <c r="AW9" s="125">
        <f t="shared" ref="AW9:AW72" si="7">AQ9</f>
        <v>-47136.41416</v>
      </c>
      <c r="AX9" s="125">
        <f>AI9*Valores!$C$76</f>
        <v>-31817.079558000001</v>
      </c>
      <c r="AY9" s="125">
        <f>AI9*Valores!$C$77</f>
        <v>-3535.2310620000003</v>
      </c>
      <c r="AZ9" s="125">
        <f t="shared" si="5"/>
        <v>1036296.49028</v>
      </c>
      <c r="BA9" s="125">
        <f>AI9*Valores!$C$79</f>
        <v>188545.65664</v>
      </c>
      <c r="BB9" s="125">
        <f>AI9*Valores!$C$80</f>
        <v>82488.724780000004</v>
      </c>
      <c r="BC9" s="125">
        <f>AI9*Valores!$C$81</f>
        <v>11784.10354</v>
      </c>
      <c r="BD9" s="125">
        <f>AI9*Valores!$C$83</f>
        <v>41244.362390000002</v>
      </c>
      <c r="BE9" s="125">
        <f>AI9*Valores!$C$85</f>
        <v>63634.159116000003</v>
      </c>
      <c r="BF9" s="125">
        <f>AI9*Valores!$C$84</f>
        <v>7070.4621240000006</v>
      </c>
      <c r="BG9" s="126">
        <v>33</v>
      </c>
      <c r="BH9" s="126">
        <v>45</v>
      </c>
      <c r="BI9" s="123" t="s">
        <v>8</v>
      </c>
    </row>
    <row r="10" spans="1:1029" s="110" customFormat="1" ht="11.25" customHeight="1" x14ac:dyDescent="0.15">
      <c r="A10" s="123" t="s">
        <v>109</v>
      </c>
      <c r="B10" s="123">
        <v>1</v>
      </c>
      <c r="C10" s="126">
        <v>3</v>
      </c>
      <c r="D10" s="124" t="s">
        <v>110</v>
      </c>
      <c r="E10" s="192">
        <v>107</v>
      </c>
      <c r="F10" s="125">
        <f>ROUND(E10*Valores!$C$2,2)</f>
        <v>8302.85</v>
      </c>
      <c r="G10" s="192">
        <v>3720</v>
      </c>
      <c r="H10" s="125">
        <f>ROUND(G10*Valores!$C$2,2)</f>
        <v>288659.71999999997</v>
      </c>
      <c r="I10" s="192">
        <v>1226</v>
      </c>
      <c r="J10" s="125">
        <f>ROUND(I10*Valores!$C$2,2)</f>
        <v>95133.55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115692.07</v>
      </c>
      <c r="N10" s="125">
        <f t="shared" si="1"/>
        <v>0</v>
      </c>
      <c r="O10" s="125">
        <f>Valores!$C$13</f>
        <v>71072.05</v>
      </c>
      <c r="P10" s="125">
        <f>Valores!$D$5</f>
        <v>39667.43</v>
      </c>
      <c r="Q10" s="125">
        <v>0</v>
      </c>
      <c r="R10" s="125">
        <f>IF($F$4="NO",Valores!$C$47,Valores!$C$47/2)</f>
        <v>33763.35</v>
      </c>
      <c r="S10" s="125">
        <f>Valores!$C$19</f>
        <v>36908.81</v>
      </c>
      <c r="T10" s="125">
        <f>ROUND(S10*(1+$H$2),2)</f>
        <v>36908.81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Valores!$C$96</f>
        <v>54315.88</v>
      </c>
      <c r="AA10" s="125">
        <f>Valores!$C$25</f>
        <v>1622.32</v>
      </c>
      <c r="AB10" s="214">
        <v>0</v>
      </c>
      <c r="AC10" s="125">
        <f t="shared" si="2"/>
        <v>0</v>
      </c>
      <c r="AD10" s="125">
        <f>Valores!$C$26</f>
        <v>1622.32</v>
      </c>
      <c r="AE10" s="192">
        <v>0</v>
      </c>
      <c r="AF10" s="125">
        <f>ROUND(AE10*Valores!$C$2,2)</f>
        <v>0</v>
      </c>
      <c r="AG10" s="125">
        <f>ROUND(IF($F$4="NO",Valores!$C$64,Valores!$C$64/2),2)</f>
        <v>18547.32</v>
      </c>
      <c r="AH10" s="125">
        <f>SUM(F10,H10,J10,L10,M10,N10,O10,P10,Q10,R10,T10,U10,V10,X10,Y10,Z10,AA10,AC10,AD10,AF10,AG10)*Valores!$C$104</f>
        <v>76530.766999999993</v>
      </c>
      <c r="AI10" s="125">
        <f t="shared" si="3"/>
        <v>841838.43699999992</v>
      </c>
      <c r="AJ10" s="125">
        <f>Valores!$C$32</f>
        <v>70000</v>
      </c>
      <c r="AK10" s="125">
        <v>0</v>
      </c>
      <c r="AL10" s="125">
        <f>Valores!$C$89</f>
        <v>0</v>
      </c>
      <c r="AM10" s="125">
        <f>Valores!C$39*B10</f>
        <v>0</v>
      </c>
      <c r="AN10" s="125">
        <f>IF($F$3="NO",0,Valores!$C$56)</f>
        <v>0</v>
      </c>
      <c r="AO10" s="125">
        <f t="shared" si="4"/>
        <v>70000</v>
      </c>
      <c r="AP10" s="125">
        <f>AI10*Valores!$C$72</f>
        <v>-92602.228069999997</v>
      </c>
      <c r="AQ10" s="125">
        <f>IF(AI10&lt;Valores!$E$73,-0.02,IF(AI10&lt;Valores!$F$73,-0.03,-0.04))*AI10</f>
        <v>-25255.153109999996</v>
      </c>
      <c r="AR10" s="125">
        <f>AI10*Valores!$C$75</f>
        <v>-46301.114034999999</v>
      </c>
      <c r="AS10" s="125">
        <f>Valores!$C$102</f>
        <v>-1270.1600000000001</v>
      </c>
      <c r="AT10" s="125">
        <f>IF($F$5=0,Valores!$C$103,(Valores!$C$103+$F$5*(Valores!$C$103)))</f>
        <v>-3700</v>
      </c>
      <c r="AU10" s="125">
        <f t="shared" si="6"/>
        <v>742709.78178499988</v>
      </c>
      <c r="AV10" s="125">
        <f t="shared" si="0"/>
        <v>-92602.228069999997</v>
      </c>
      <c r="AW10" s="125">
        <f t="shared" si="7"/>
        <v>-25255.153109999996</v>
      </c>
      <c r="AX10" s="125">
        <f>AI10*Valores!$C$76</f>
        <v>-22729.637798999996</v>
      </c>
      <c r="AY10" s="125">
        <f>AI10*Valores!$C$77</f>
        <v>-2525.5153109999997</v>
      </c>
      <c r="AZ10" s="125">
        <f t="shared" si="5"/>
        <v>768725.90270999994</v>
      </c>
      <c r="BA10" s="125">
        <f>AI10*Valores!$C$79</f>
        <v>134694.14992</v>
      </c>
      <c r="BB10" s="125">
        <f>AI10*Valores!$C$80</f>
        <v>58928.690589999998</v>
      </c>
      <c r="BC10" s="125">
        <f>AI10*Valores!$C$81</f>
        <v>8418.3843699999998</v>
      </c>
      <c r="BD10" s="125">
        <f>AI10*Valores!$C$83</f>
        <v>29464.345294999999</v>
      </c>
      <c r="BE10" s="125">
        <f>AI10*Valores!$C$85</f>
        <v>45459.275597999993</v>
      </c>
      <c r="BF10" s="125">
        <f>AI10*Valores!$C$84</f>
        <v>5051.0306219999993</v>
      </c>
      <c r="BG10" s="126">
        <v>35</v>
      </c>
      <c r="BH10" s="126">
        <v>45</v>
      </c>
      <c r="BI10" s="123" t="s">
        <v>4</v>
      </c>
    </row>
    <row r="11" spans="1:1029" s="110" customFormat="1" ht="11.25" customHeight="1" x14ac:dyDescent="0.15">
      <c r="A11" s="123" t="s">
        <v>111</v>
      </c>
      <c r="B11" s="123">
        <v>1</v>
      </c>
      <c r="C11" s="126">
        <v>4</v>
      </c>
      <c r="D11" s="124" t="s">
        <v>112</v>
      </c>
      <c r="E11" s="192">
        <v>107</v>
      </c>
      <c r="F11" s="125">
        <f>ROUND(E11*Valores!$C$2,2)</f>
        <v>8302.85</v>
      </c>
      <c r="G11" s="192">
        <v>3779</v>
      </c>
      <c r="H11" s="125">
        <f>ROUND(G11*Valores!$C$2,2)</f>
        <v>293237.93</v>
      </c>
      <c r="I11" s="192">
        <v>219</v>
      </c>
      <c r="J11" s="125">
        <f>ROUND(I11*Valores!$C$2,2)</f>
        <v>16993.68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88074.45</v>
      </c>
      <c r="N11" s="125">
        <f t="shared" si="1"/>
        <v>0</v>
      </c>
      <c r="O11" s="125">
        <f>Valores!$C$11</f>
        <v>69186.37</v>
      </c>
      <c r="P11" s="125">
        <f>Valores!$D$5</f>
        <v>39667.43</v>
      </c>
      <c r="Q11" s="125">
        <v>0</v>
      </c>
      <c r="R11" s="125">
        <f>IF($F$4="NO",Valores!$C$47,Valores!$C$47/2)</f>
        <v>33763.35</v>
      </c>
      <c r="S11" s="125">
        <v>0</v>
      </c>
      <c r="T11" s="125">
        <f t="shared" ref="T11:T74" si="8">ROUND(S11*(1+$H$2),2)</f>
        <v>0</v>
      </c>
      <c r="U11" s="125">
        <f t="shared" ref="U11:U20" si="9">SUM(F11,H11,J11)</f>
        <v>318534.45999999996</v>
      </c>
      <c r="V11" s="125">
        <f t="shared" ref="V11:V20" si="10">INT((SUM(F11,H11,J11)*0.4*100)+0.49)/100</f>
        <v>127413.78</v>
      </c>
      <c r="W11" s="192">
        <v>0</v>
      </c>
      <c r="X11" s="125">
        <f>ROUND(W11*Valores!$C$2,2)</f>
        <v>0</v>
      </c>
      <c r="Y11" s="125">
        <v>0</v>
      </c>
      <c r="Z11" s="125">
        <f>Valores!$C$96</f>
        <v>54315.88</v>
      </c>
      <c r="AA11" s="125">
        <f>Valores!$C$25</f>
        <v>1622.32</v>
      </c>
      <c r="AB11" s="214">
        <v>0</v>
      </c>
      <c r="AC11" s="125">
        <f t="shared" si="2"/>
        <v>0</v>
      </c>
      <c r="AD11" s="125">
        <f>Valores!$C$26</f>
        <v>1622.32</v>
      </c>
      <c r="AE11" s="192">
        <v>0</v>
      </c>
      <c r="AF11" s="125">
        <f>ROUND(AE11*Valores!$C$2,2)</f>
        <v>0</v>
      </c>
      <c r="AG11" s="125">
        <f>ROUND(IF($F$4="NO",Valores!$C$64,Valores!$C$64/2),2)</f>
        <v>18547.32</v>
      </c>
      <c r="AH11" s="125">
        <f>SUM(F11,H11,J11,L11,M11,N11,O11,P11,Q11,R11,T11,U11,V11,X11,Y11,Z11,AA11,AC11,AD11,AF11,AG11)*Valores!$C$104</f>
        <v>107128.21400000002</v>
      </c>
      <c r="AI11" s="125">
        <f t="shared" si="3"/>
        <v>1178410.3540000001</v>
      </c>
      <c r="AJ11" s="125">
        <f>Valores!$C$32</f>
        <v>70000</v>
      </c>
      <c r="AK11" s="125">
        <v>0</v>
      </c>
      <c r="AL11" s="125">
        <f>Valores!$C$89</f>
        <v>0</v>
      </c>
      <c r="AM11" s="125">
        <f>Valores!C$39*B11</f>
        <v>0</v>
      </c>
      <c r="AN11" s="125">
        <f>IF($F$3="NO",0,Valores!$C$56)</f>
        <v>0</v>
      </c>
      <c r="AO11" s="125">
        <f t="shared" si="4"/>
        <v>70000</v>
      </c>
      <c r="AP11" s="125">
        <f>AI11*Valores!$C$72</f>
        <v>-129625.13894</v>
      </c>
      <c r="AQ11" s="125">
        <f>IF(AI11&lt;Valores!$E$73,-0.02,IF(AI11&lt;Valores!$F$73,-0.03,-0.04))*AI11</f>
        <v>-47136.41416</v>
      </c>
      <c r="AR11" s="125">
        <f>AI11*Valores!$C$75</f>
        <v>-64812.569470000002</v>
      </c>
      <c r="AS11" s="125">
        <f>Valores!$C$102</f>
        <v>-1270.1600000000001</v>
      </c>
      <c r="AT11" s="125">
        <f>IF($F$5=0,Valores!$C$103,(Valores!$C$103+$F$5*(Valores!$C$103)))</f>
        <v>-3700</v>
      </c>
      <c r="AU11" s="125">
        <f t="shared" si="6"/>
        <v>1001866.07143</v>
      </c>
      <c r="AV11" s="125">
        <f t="shared" si="0"/>
        <v>-129625.13894</v>
      </c>
      <c r="AW11" s="125">
        <f t="shared" si="7"/>
        <v>-47136.41416</v>
      </c>
      <c r="AX11" s="125">
        <f>AI11*Valores!$C$76</f>
        <v>-31817.079558000001</v>
      </c>
      <c r="AY11" s="125">
        <f>AI11*Valores!$C$77</f>
        <v>-3535.2310620000003</v>
      </c>
      <c r="AZ11" s="125">
        <f t="shared" si="5"/>
        <v>1036296.49028</v>
      </c>
      <c r="BA11" s="125">
        <f>AI11*Valores!$C$79</f>
        <v>188545.65664</v>
      </c>
      <c r="BB11" s="125">
        <f>AI11*Valores!$C$80</f>
        <v>82488.724780000004</v>
      </c>
      <c r="BC11" s="125">
        <f>AI11*Valores!$C$81</f>
        <v>11784.10354</v>
      </c>
      <c r="BD11" s="125">
        <f>AI11*Valores!$C$83</f>
        <v>41244.362390000002</v>
      </c>
      <c r="BE11" s="125">
        <f>AI11*Valores!$C$85</f>
        <v>63634.159116000003</v>
      </c>
      <c r="BF11" s="125">
        <f>AI11*Valores!$C$84</f>
        <v>7070.4621240000006</v>
      </c>
      <c r="BG11" s="126">
        <v>33</v>
      </c>
      <c r="BH11" s="126">
        <v>45</v>
      </c>
      <c r="BI11" s="123" t="s">
        <v>8</v>
      </c>
    </row>
    <row r="12" spans="1:1029" s="110" customFormat="1" ht="11.25" customHeight="1" x14ac:dyDescent="0.15">
      <c r="A12" s="123" t="s">
        <v>113</v>
      </c>
      <c r="B12" s="123">
        <v>1</v>
      </c>
      <c r="C12" s="126">
        <v>5</v>
      </c>
      <c r="D12" s="124" t="s">
        <v>114</v>
      </c>
      <c r="E12" s="192">
        <v>107</v>
      </c>
      <c r="F12" s="125">
        <f>ROUND(E12*Valores!$C$2,2)</f>
        <v>8302.85</v>
      </c>
      <c r="G12" s="192">
        <v>3779</v>
      </c>
      <c r="H12" s="125">
        <f>ROUND(G12*Valores!$C$2,2)</f>
        <v>293237.93</v>
      </c>
      <c r="I12" s="192">
        <v>219</v>
      </c>
      <c r="J12" s="125">
        <f>ROUND(I12*Valores!$C$2,2)</f>
        <v>16993.68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88074.45</v>
      </c>
      <c r="N12" s="125">
        <f t="shared" si="1"/>
        <v>0</v>
      </c>
      <c r="O12" s="125">
        <f>Valores!$C$11</f>
        <v>69186.37</v>
      </c>
      <c r="P12" s="125">
        <f>Valores!$D$5</f>
        <v>39667.43</v>
      </c>
      <c r="Q12" s="125">
        <v>0</v>
      </c>
      <c r="R12" s="125">
        <f>IF($F$4="NO",Valores!$C$47,Valores!$C$47/2)</f>
        <v>33763.35</v>
      </c>
      <c r="S12" s="125">
        <v>0</v>
      </c>
      <c r="T12" s="125">
        <f t="shared" si="8"/>
        <v>0</v>
      </c>
      <c r="U12" s="125">
        <f t="shared" si="9"/>
        <v>318534.45999999996</v>
      </c>
      <c r="V12" s="125">
        <f t="shared" si="10"/>
        <v>127413.78</v>
      </c>
      <c r="W12" s="192">
        <v>0</v>
      </c>
      <c r="X12" s="125">
        <f>ROUND(W12*Valores!$C$2,2)</f>
        <v>0</v>
      </c>
      <c r="Y12" s="125">
        <v>0</v>
      </c>
      <c r="Z12" s="125">
        <f>Valores!$C$96</f>
        <v>54315.88</v>
      </c>
      <c r="AA12" s="125">
        <f>Valores!$C$25</f>
        <v>1622.32</v>
      </c>
      <c r="AB12" s="214">
        <v>0</v>
      </c>
      <c r="AC12" s="125">
        <f t="shared" si="2"/>
        <v>0</v>
      </c>
      <c r="AD12" s="125">
        <f>Valores!$C$26</f>
        <v>1622.32</v>
      </c>
      <c r="AE12" s="192">
        <v>0</v>
      </c>
      <c r="AF12" s="125">
        <f>ROUND(AE12*Valores!$C$2,2)</f>
        <v>0</v>
      </c>
      <c r="AG12" s="125">
        <f>ROUND(IF($F$4="NO",Valores!$C$64,Valores!$C$64/2),2)</f>
        <v>18547.32</v>
      </c>
      <c r="AH12" s="125">
        <f>SUM(F12,H12,J12,L12,M12,N12,O12,P12,Q12,R12,T12,U12,V12,X12,Y12,Z12,AA12,AC12,AD12,AF12,AG12)*Valores!$C$104</f>
        <v>107128.21400000002</v>
      </c>
      <c r="AI12" s="125">
        <f t="shared" si="3"/>
        <v>1178410.3540000001</v>
      </c>
      <c r="AJ12" s="125">
        <f>Valores!$C$32</f>
        <v>70000</v>
      </c>
      <c r="AK12" s="125">
        <v>0</v>
      </c>
      <c r="AL12" s="125">
        <f>Valores!$C$89</f>
        <v>0</v>
      </c>
      <c r="AM12" s="125">
        <f>Valores!C$39*B12</f>
        <v>0</v>
      </c>
      <c r="AN12" s="125">
        <f>IF($F$3="NO",0,Valores!$C$56)</f>
        <v>0</v>
      </c>
      <c r="AO12" s="125">
        <f t="shared" si="4"/>
        <v>70000</v>
      </c>
      <c r="AP12" s="125">
        <f>AI12*Valores!$C$72</f>
        <v>-129625.13894</v>
      </c>
      <c r="AQ12" s="125">
        <f>IF(AI12&lt;Valores!$E$73,-0.02,IF(AI12&lt;Valores!$F$73,-0.03,-0.04))*AI12</f>
        <v>-47136.41416</v>
      </c>
      <c r="AR12" s="125">
        <f>AI12*Valores!$C$75</f>
        <v>-64812.569470000002</v>
      </c>
      <c r="AS12" s="125">
        <f>Valores!$C$102</f>
        <v>-1270.1600000000001</v>
      </c>
      <c r="AT12" s="125">
        <f>IF($F$5=0,Valores!$C$103,(Valores!$C$103+$F$5*(Valores!$C$103)))</f>
        <v>-3700</v>
      </c>
      <c r="AU12" s="125">
        <f t="shared" si="6"/>
        <v>1001866.07143</v>
      </c>
      <c r="AV12" s="125">
        <f t="shared" si="0"/>
        <v>-129625.13894</v>
      </c>
      <c r="AW12" s="125">
        <f t="shared" si="7"/>
        <v>-47136.41416</v>
      </c>
      <c r="AX12" s="125">
        <f>AI12*Valores!$C$76</f>
        <v>-31817.079558000001</v>
      </c>
      <c r="AY12" s="125">
        <f>AI12*Valores!$C$77</f>
        <v>-3535.2310620000003</v>
      </c>
      <c r="AZ12" s="125">
        <f t="shared" si="5"/>
        <v>1036296.49028</v>
      </c>
      <c r="BA12" s="125">
        <f>AI12*Valores!$C$79</f>
        <v>188545.65664</v>
      </c>
      <c r="BB12" s="125">
        <f>AI12*Valores!$C$80</f>
        <v>82488.724780000004</v>
      </c>
      <c r="BC12" s="125">
        <f>AI12*Valores!$C$81</f>
        <v>11784.10354</v>
      </c>
      <c r="BD12" s="125">
        <f>AI12*Valores!$C$83</f>
        <v>41244.362390000002</v>
      </c>
      <c r="BE12" s="125">
        <f>AI12*Valores!$C$85</f>
        <v>63634.159116000003</v>
      </c>
      <c r="BF12" s="125">
        <f>AI12*Valores!$C$84</f>
        <v>7070.4621240000006</v>
      </c>
      <c r="BG12" s="126">
        <v>33</v>
      </c>
      <c r="BH12" s="126">
        <v>45</v>
      </c>
      <c r="BI12" s="123" t="s">
        <v>8</v>
      </c>
    </row>
    <row r="13" spans="1:1029" s="110" customFormat="1" ht="11.25" customHeight="1" x14ac:dyDescent="0.15">
      <c r="A13" s="123" t="s">
        <v>115</v>
      </c>
      <c r="B13" s="123">
        <v>1</v>
      </c>
      <c r="C13" s="126">
        <v>6</v>
      </c>
      <c r="D13" s="124" t="s">
        <v>116</v>
      </c>
      <c r="E13" s="192">
        <v>107</v>
      </c>
      <c r="F13" s="125">
        <f>ROUND(E13*Valores!$C$2,2)</f>
        <v>8302.85</v>
      </c>
      <c r="G13" s="192">
        <v>3779</v>
      </c>
      <c r="H13" s="125">
        <f>ROUND(G13*Valores!$C$2,2)</f>
        <v>293237.93</v>
      </c>
      <c r="I13" s="192">
        <v>219</v>
      </c>
      <c r="J13" s="125">
        <f>ROUND(I13*Valores!$C$2,2)</f>
        <v>16993.68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88074.45</v>
      </c>
      <c r="N13" s="125">
        <f t="shared" si="1"/>
        <v>0</v>
      </c>
      <c r="O13" s="125">
        <f>Valores!$C$11</f>
        <v>69186.37</v>
      </c>
      <c r="P13" s="125">
        <f>Valores!$D$5</f>
        <v>39667.43</v>
      </c>
      <c r="Q13" s="125">
        <v>0</v>
      </c>
      <c r="R13" s="125">
        <f>IF($F$4="NO",Valores!$C$47,Valores!$C$47/2)</f>
        <v>33763.35</v>
      </c>
      <c r="S13" s="125">
        <v>0</v>
      </c>
      <c r="T13" s="125">
        <f t="shared" si="8"/>
        <v>0</v>
      </c>
      <c r="U13" s="125">
        <f t="shared" si="9"/>
        <v>318534.45999999996</v>
      </c>
      <c r="V13" s="125">
        <f t="shared" si="10"/>
        <v>127413.78</v>
      </c>
      <c r="W13" s="192">
        <v>0</v>
      </c>
      <c r="X13" s="125">
        <f>ROUND(W13*Valores!$C$2,2)</f>
        <v>0</v>
      </c>
      <c r="Y13" s="125">
        <v>0</v>
      </c>
      <c r="Z13" s="125">
        <f>Valores!$C$96</f>
        <v>54315.88</v>
      </c>
      <c r="AA13" s="125">
        <f>Valores!$C$25</f>
        <v>1622.32</v>
      </c>
      <c r="AB13" s="214">
        <v>0</v>
      </c>
      <c r="AC13" s="125">
        <f t="shared" si="2"/>
        <v>0</v>
      </c>
      <c r="AD13" s="125">
        <f>Valores!$C$26</f>
        <v>1622.32</v>
      </c>
      <c r="AE13" s="192">
        <v>0</v>
      </c>
      <c r="AF13" s="125">
        <f>ROUND(AE13*Valores!$C$2,2)</f>
        <v>0</v>
      </c>
      <c r="AG13" s="125">
        <f>ROUND(IF($F$4="NO",Valores!$C$64,Valores!$C$64/2),2)</f>
        <v>18547.32</v>
      </c>
      <c r="AH13" s="125">
        <f>SUM(F13,H13,J13,L13,M13,N13,O13,P13,Q13,R13,T13,U13,V13,X13,Y13,Z13,AA13,AC13,AD13,AF13,AG13)*Valores!$C$104</f>
        <v>107128.21400000002</v>
      </c>
      <c r="AI13" s="125">
        <f t="shared" si="3"/>
        <v>1178410.3540000001</v>
      </c>
      <c r="AJ13" s="125">
        <f>Valores!$C$32</f>
        <v>70000</v>
      </c>
      <c r="AK13" s="125">
        <v>0</v>
      </c>
      <c r="AL13" s="125">
        <f>Valores!$C$89</f>
        <v>0</v>
      </c>
      <c r="AM13" s="125">
        <f>Valores!C$39*B13</f>
        <v>0</v>
      </c>
      <c r="AN13" s="125">
        <f>IF($F$3="NO",0,Valores!$C$56)</f>
        <v>0</v>
      </c>
      <c r="AO13" s="125">
        <f t="shared" si="4"/>
        <v>70000</v>
      </c>
      <c r="AP13" s="125">
        <f>AI13*Valores!$C$72</f>
        <v>-129625.13894</v>
      </c>
      <c r="AQ13" s="125">
        <f>IF(AI13&lt;Valores!$E$73,-0.02,IF(AI13&lt;Valores!$F$73,-0.03,-0.04))*AI13</f>
        <v>-47136.41416</v>
      </c>
      <c r="AR13" s="125">
        <f>AI13*Valores!$C$75</f>
        <v>-64812.569470000002</v>
      </c>
      <c r="AS13" s="125">
        <f>Valores!$C$102</f>
        <v>-1270.1600000000001</v>
      </c>
      <c r="AT13" s="125">
        <f>IF($F$5=0,Valores!$C$103,(Valores!$C$103+$F$5*(Valores!$C$103)))</f>
        <v>-3700</v>
      </c>
      <c r="AU13" s="125">
        <f t="shared" si="6"/>
        <v>1001866.07143</v>
      </c>
      <c r="AV13" s="125">
        <f t="shared" si="0"/>
        <v>-129625.13894</v>
      </c>
      <c r="AW13" s="125">
        <f t="shared" si="7"/>
        <v>-47136.41416</v>
      </c>
      <c r="AX13" s="125">
        <f>AI13*Valores!$C$76</f>
        <v>-31817.079558000001</v>
      </c>
      <c r="AY13" s="125">
        <f>AI13*Valores!$C$77</f>
        <v>-3535.2310620000003</v>
      </c>
      <c r="AZ13" s="125">
        <f t="shared" si="5"/>
        <v>1036296.49028</v>
      </c>
      <c r="BA13" s="125">
        <f>AI13*Valores!$C$79</f>
        <v>188545.65664</v>
      </c>
      <c r="BB13" s="125">
        <f>AI13*Valores!$C$80</f>
        <v>82488.724780000004</v>
      </c>
      <c r="BC13" s="125">
        <f>AI13*Valores!$C$81</f>
        <v>11784.10354</v>
      </c>
      <c r="BD13" s="125">
        <f>AI13*Valores!$C$83</f>
        <v>41244.362390000002</v>
      </c>
      <c r="BE13" s="125">
        <f>AI13*Valores!$C$85</f>
        <v>63634.159116000003</v>
      </c>
      <c r="BF13" s="125">
        <f>AI13*Valores!$C$84</f>
        <v>7070.4621240000006</v>
      </c>
      <c r="BG13" s="126">
        <v>33</v>
      </c>
      <c r="BH13" s="126">
        <v>45</v>
      </c>
      <c r="BI13" s="123" t="s">
        <v>8</v>
      </c>
    </row>
    <row r="14" spans="1:1029" s="110" customFormat="1" ht="11.25" customHeight="1" x14ac:dyDescent="0.15">
      <c r="A14" s="123" t="s">
        <v>117</v>
      </c>
      <c r="B14" s="123">
        <v>1</v>
      </c>
      <c r="C14" s="126">
        <v>7</v>
      </c>
      <c r="D14" s="124" t="s">
        <v>118</v>
      </c>
      <c r="E14" s="192">
        <v>107</v>
      </c>
      <c r="F14" s="125">
        <f>ROUND(E14*Valores!$C$2,2)</f>
        <v>8302.85</v>
      </c>
      <c r="G14" s="192">
        <v>3779</v>
      </c>
      <c r="H14" s="125">
        <f>ROUND(G14*Valores!$C$2,2)</f>
        <v>293237.93</v>
      </c>
      <c r="I14" s="192">
        <v>219</v>
      </c>
      <c r="J14" s="125">
        <f>ROUND(I14*Valores!$C$2,2)</f>
        <v>16993.68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88074.45</v>
      </c>
      <c r="N14" s="125">
        <f t="shared" si="1"/>
        <v>0</v>
      </c>
      <c r="O14" s="125">
        <f>Valores!$C$11</f>
        <v>69186.37</v>
      </c>
      <c r="P14" s="125">
        <f>Valores!$D$5</f>
        <v>39667.43</v>
      </c>
      <c r="Q14" s="125">
        <v>0</v>
      </c>
      <c r="R14" s="125">
        <f>IF($F$4="NO",Valores!$C$47,Valores!$C$47/2)</f>
        <v>33763.35</v>
      </c>
      <c r="S14" s="125">
        <v>0</v>
      </c>
      <c r="T14" s="125">
        <f t="shared" si="8"/>
        <v>0</v>
      </c>
      <c r="U14" s="125">
        <f t="shared" si="9"/>
        <v>318534.45999999996</v>
      </c>
      <c r="V14" s="125">
        <f t="shared" si="10"/>
        <v>127413.78</v>
      </c>
      <c r="W14" s="192">
        <v>0</v>
      </c>
      <c r="X14" s="125">
        <f>ROUND(W14*Valores!$C$2,2)</f>
        <v>0</v>
      </c>
      <c r="Y14" s="125">
        <v>0</v>
      </c>
      <c r="Z14" s="125">
        <f>Valores!$C$96</f>
        <v>54315.88</v>
      </c>
      <c r="AA14" s="125">
        <f>Valores!$C$25</f>
        <v>1622.32</v>
      </c>
      <c r="AB14" s="214">
        <v>0</v>
      </c>
      <c r="AC14" s="125">
        <f t="shared" si="2"/>
        <v>0</v>
      </c>
      <c r="AD14" s="125">
        <f>Valores!$C$26</f>
        <v>1622.32</v>
      </c>
      <c r="AE14" s="192">
        <v>0</v>
      </c>
      <c r="AF14" s="125">
        <f>ROUND(AE14*Valores!$C$2,2)</f>
        <v>0</v>
      </c>
      <c r="AG14" s="125">
        <f>ROUND(IF($F$4="NO",Valores!$C$64,Valores!$C$64/2),2)</f>
        <v>18547.32</v>
      </c>
      <c r="AH14" s="125">
        <f>SUM(F14,H14,J14,L14,M14,N14,O14,P14,Q14,R14,T14,U14,V14,X14,Y14,Z14,AA14,AC14,AD14,AF14,AG14)*Valores!$C$104</f>
        <v>107128.21400000002</v>
      </c>
      <c r="AI14" s="125">
        <f t="shared" si="3"/>
        <v>1178410.3540000001</v>
      </c>
      <c r="AJ14" s="125">
        <f>Valores!$C$32</f>
        <v>70000</v>
      </c>
      <c r="AK14" s="125">
        <v>0</v>
      </c>
      <c r="AL14" s="125">
        <f>Valores!$C$89</f>
        <v>0</v>
      </c>
      <c r="AM14" s="125">
        <f>Valores!C$39*B14</f>
        <v>0</v>
      </c>
      <c r="AN14" s="125">
        <f>IF($F$3="NO",0,Valores!$C$56)</f>
        <v>0</v>
      </c>
      <c r="AO14" s="125">
        <f t="shared" si="4"/>
        <v>70000</v>
      </c>
      <c r="AP14" s="125">
        <f>AI14*Valores!$C$72</f>
        <v>-129625.13894</v>
      </c>
      <c r="AQ14" s="125">
        <f>IF(AI14&lt;Valores!$E$73,-0.02,IF(AI14&lt;Valores!$F$73,-0.03,-0.04))*AI14</f>
        <v>-47136.41416</v>
      </c>
      <c r="AR14" s="125">
        <f>AI14*Valores!$C$75</f>
        <v>-64812.569470000002</v>
      </c>
      <c r="AS14" s="125">
        <f>Valores!$C$102</f>
        <v>-1270.1600000000001</v>
      </c>
      <c r="AT14" s="125">
        <f>IF($F$5=0,Valores!$C$103,(Valores!$C$103+$F$5*(Valores!$C$103)))</f>
        <v>-3700</v>
      </c>
      <c r="AU14" s="125">
        <f t="shared" si="6"/>
        <v>1001866.07143</v>
      </c>
      <c r="AV14" s="125">
        <f t="shared" si="0"/>
        <v>-129625.13894</v>
      </c>
      <c r="AW14" s="125">
        <f t="shared" si="7"/>
        <v>-47136.41416</v>
      </c>
      <c r="AX14" s="125">
        <f>AI14*Valores!$C$76</f>
        <v>-31817.079558000001</v>
      </c>
      <c r="AY14" s="125">
        <f>AI14*Valores!$C$77</f>
        <v>-3535.2310620000003</v>
      </c>
      <c r="AZ14" s="125">
        <f t="shared" si="5"/>
        <v>1036296.49028</v>
      </c>
      <c r="BA14" s="125">
        <f>AI14*Valores!$C$79</f>
        <v>188545.65664</v>
      </c>
      <c r="BB14" s="125">
        <f>AI14*Valores!$C$80</f>
        <v>82488.724780000004</v>
      </c>
      <c r="BC14" s="125">
        <f>AI14*Valores!$C$81</f>
        <v>11784.10354</v>
      </c>
      <c r="BD14" s="125">
        <f>AI14*Valores!$C$83</f>
        <v>41244.362390000002</v>
      </c>
      <c r="BE14" s="125">
        <f>AI14*Valores!$C$85</f>
        <v>63634.159116000003</v>
      </c>
      <c r="BF14" s="125">
        <f>AI14*Valores!$C$84</f>
        <v>7070.4621240000006</v>
      </c>
      <c r="BG14" s="126">
        <v>33</v>
      </c>
      <c r="BH14" s="126">
        <v>45</v>
      </c>
      <c r="BI14" s="123" t="s">
        <v>8</v>
      </c>
    </row>
    <row r="15" spans="1:1029" s="110" customFormat="1" ht="11.25" customHeight="1" x14ac:dyDescent="0.15">
      <c r="A15" s="123" t="s">
        <v>119</v>
      </c>
      <c r="B15" s="123">
        <v>1</v>
      </c>
      <c r="C15" s="126">
        <v>8</v>
      </c>
      <c r="D15" s="124" t="s">
        <v>120</v>
      </c>
      <c r="E15" s="192">
        <v>107</v>
      </c>
      <c r="F15" s="125">
        <f>ROUND(E15*Valores!$C$2,2)</f>
        <v>8302.85</v>
      </c>
      <c r="G15" s="192">
        <v>3779</v>
      </c>
      <c r="H15" s="125">
        <f>ROUND(G15*Valores!$C$2,2)</f>
        <v>293237.93</v>
      </c>
      <c r="I15" s="192">
        <v>219</v>
      </c>
      <c r="J15" s="125">
        <f>ROUND(I15*Valores!$C$2,2)</f>
        <v>16993.68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88074.45</v>
      </c>
      <c r="N15" s="125">
        <f t="shared" si="1"/>
        <v>0</v>
      </c>
      <c r="O15" s="125">
        <f>Valores!$C$11</f>
        <v>69186.37</v>
      </c>
      <c r="P15" s="125">
        <f>Valores!$D$5</f>
        <v>39667.43</v>
      </c>
      <c r="Q15" s="125">
        <v>0</v>
      </c>
      <c r="R15" s="125">
        <f>IF($F$4="NO",Valores!$C$47,Valores!$C$47/2)</f>
        <v>33763.35</v>
      </c>
      <c r="S15" s="125">
        <v>0</v>
      </c>
      <c r="T15" s="125">
        <f t="shared" si="8"/>
        <v>0</v>
      </c>
      <c r="U15" s="125">
        <f t="shared" si="9"/>
        <v>318534.45999999996</v>
      </c>
      <c r="V15" s="125">
        <f t="shared" si="10"/>
        <v>127413.78</v>
      </c>
      <c r="W15" s="192">
        <v>0</v>
      </c>
      <c r="X15" s="125">
        <f>ROUND(W15*Valores!$C$2,2)</f>
        <v>0</v>
      </c>
      <c r="Y15" s="125">
        <v>0</v>
      </c>
      <c r="Z15" s="125">
        <f>Valores!$C$96</f>
        <v>54315.88</v>
      </c>
      <c r="AA15" s="125">
        <f>Valores!$C$25</f>
        <v>1622.32</v>
      </c>
      <c r="AB15" s="214">
        <v>0</v>
      </c>
      <c r="AC15" s="125">
        <f t="shared" si="2"/>
        <v>0</v>
      </c>
      <c r="AD15" s="125">
        <f>Valores!$C$26</f>
        <v>1622.32</v>
      </c>
      <c r="AE15" s="192">
        <v>0</v>
      </c>
      <c r="AF15" s="125">
        <f>ROUND(AE15*Valores!$C$2,2)</f>
        <v>0</v>
      </c>
      <c r="AG15" s="125">
        <f>ROUND(IF($F$4="NO",Valores!$C$64,Valores!$C$64/2),2)</f>
        <v>18547.32</v>
      </c>
      <c r="AH15" s="125">
        <f>SUM(F15,H15,J15,L15,M15,N15,O15,P15,Q15,R15,T15,U15,V15,X15,Y15,Z15,AA15,AC15,AD15,AF15,AG15)*Valores!$C$104</f>
        <v>107128.21400000002</v>
      </c>
      <c r="AI15" s="125">
        <f t="shared" si="3"/>
        <v>1178410.3540000001</v>
      </c>
      <c r="AJ15" s="125">
        <f>Valores!$C$32</f>
        <v>70000</v>
      </c>
      <c r="AK15" s="125">
        <v>0</v>
      </c>
      <c r="AL15" s="125">
        <f>Valores!$C$89</f>
        <v>0</v>
      </c>
      <c r="AM15" s="125">
        <f>Valores!C$39*B15</f>
        <v>0</v>
      </c>
      <c r="AN15" s="125">
        <f>IF($F$3="NO",0,Valores!$C$56)</f>
        <v>0</v>
      </c>
      <c r="AO15" s="125">
        <f t="shared" si="4"/>
        <v>70000</v>
      </c>
      <c r="AP15" s="125">
        <f>AI15*Valores!$C$72</f>
        <v>-129625.13894</v>
      </c>
      <c r="AQ15" s="125">
        <f>IF(AI15&lt;Valores!$E$73,-0.02,IF(AI15&lt;Valores!$F$73,-0.03,-0.04))*AI15</f>
        <v>-47136.41416</v>
      </c>
      <c r="AR15" s="125">
        <f>AI15*Valores!$C$75</f>
        <v>-64812.569470000002</v>
      </c>
      <c r="AS15" s="125">
        <f>Valores!$C$102</f>
        <v>-1270.1600000000001</v>
      </c>
      <c r="AT15" s="125">
        <f>IF($F$5=0,Valores!$C$103,(Valores!$C$103+$F$5*(Valores!$C$103)))</f>
        <v>-3700</v>
      </c>
      <c r="AU15" s="125">
        <f t="shared" si="6"/>
        <v>1001866.07143</v>
      </c>
      <c r="AV15" s="125">
        <f t="shared" si="0"/>
        <v>-129625.13894</v>
      </c>
      <c r="AW15" s="125">
        <f t="shared" si="7"/>
        <v>-47136.41416</v>
      </c>
      <c r="AX15" s="125">
        <f>AI15*Valores!$C$76</f>
        <v>-31817.079558000001</v>
      </c>
      <c r="AY15" s="125">
        <f>AI15*Valores!$C$77</f>
        <v>-3535.2310620000003</v>
      </c>
      <c r="AZ15" s="125">
        <f t="shared" si="5"/>
        <v>1036296.49028</v>
      </c>
      <c r="BA15" s="125">
        <f>AI15*Valores!$C$79</f>
        <v>188545.65664</v>
      </c>
      <c r="BB15" s="125">
        <f>AI15*Valores!$C$80</f>
        <v>82488.724780000004</v>
      </c>
      <c r="BC15" s="125">
        <f>AI15*Valores!$C$81</f>
        <v>11784.10354</v>
      </c>
      <c r="BD15" s="125">
        <f>AI15*Valores!$C$83</f>
        <v>41244.362390000002</v>
      </c>
      <c r="BE15" s="125">
        <f>AI15*Valores!$C$85</f>
        <v>63634.159116000003</v>
      </c>
      <c r="BF15" s="125">
        <f>AI15*Valores!$C$84</f>
        <v>7070.4621240000006</v>
      </c>
      <c r="BG15" s="126">
        <v>33</v>
      </c>
      <c r="BH15" s="126">
        <v>45</v>
      </c>
      <c r="BI15" s="123" t="s">
        <v>8</v>
      </c>
    </row>
    <row r="16" spans="1:1029" s="110" customFormat="1" ht="11.25" customHeight="1" x14ac:dyDescent="0.15">
      <c r="A16" s="123" t="s">
        <v>121</v>
      </c>
      <c r="B16" s="123">
        <v>1</v>
      </c>
      <c r="C16" s="126">
        <v>9</v>
      </c>
      <c r="D16" s="124" t="s">
        <v>122</v>
      </c>
      <c r="E16" s="192">
        <v>100</v>
      </c>
      <c r="F16" s="125">
        <f>ROUND(E16*Valores!$C$2,2)</f>
        <v>7759.67</v>
      </c>
      <c r="G16" s="192">
        <v>3727</v>
      </c>
      <c r="H16" s="125">
        <f>ROUND(G16*Valores!$C$2,2)</f>
        <v>289202.90000000002</v>
      </c>
      <c r="I16" s="192">
        <v>219</v>
      </c>
      <c r="J16" s="125">
        <f>ROUND(I16*Valores!$C$2,2)</f>
        <v>16993.68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86929.9</v>
      </c>
      <c r="N16" s="125">
        <f t="shared" si="1"/>
        <v>0</v>
      </c>
      <c r="O16" s="125">
        <f>Valores!$C$11</f>
        <v>69186.37</v>
      </c>
      <c r="P16" s="125">
        <f>Valores!$D$5</f>
        <v>39667.43</v>
      </c>
      <c r="Q16" s="125">
        <v>0</v>
      </c>
      <c r="R16" s="125">
        <f>IF($F$4="NO",Valores!$C$47,Valores!$C$47/2)</f>
        <v>33763.35</v>
      </c>
      <c r="S16" s="125">
        <v>0</v>
      </c>
      <c r="T16" s="125">
        <f t="shared" si="8"/>
        <v>0</v>
      </c>
      <c r="U16" s="125">
        <f t="shared" si="9"/>
        <v>313956.25</v>
      </c>
      <c r="V16" s="125">
        <f t="shared" si="10"/>
        <v>125582.5</v>
      </c>
      <c r="W16" s="192">
        <v>0</v>
      </c>
      <c r="X16" s="125">
        <f>ROUND(W16*Valores!$C$2,2)</f>
        <v>0</v>
      </c>
      <c r="Y16" s="125">
        <v>0</v>
      </c>
      <c r="Z16" s="125">
        <f>Valores!$C$96</f>
        <v>54315.88</v>
      </c>
      <c r="AA16" s="125">
        <f>Valores!$C$25</f>
        <v>1622.32</v>
      </c>
      <c r="AB16" s="214">
        <v>0</v>
      </c>
      <c r="AC16" s="125">
        <f t="shared" si="2"/>
        <v>0</v>
      </c>
      <c r="AD16" s="125">
        <f>Valores!$C$26</f>
        <v>1622.32</v>
      </c>
      <c r="AE16" s="192">
        <v>0</v>
      </c>
      <c r="AF16" s="125">
        <f>ROUND(AE16*Valores!$C$2,2)</f>
        <v>0</v>
      </c>
      <c r="AG16" s="125">
        <f>ROUND(IF($F$4="NO",Valores!$C$64,Valores!$C$64/2),2)</f>
        <v>18547.32</v>
      </c>
      <c r="AH16" s="125">
        <f>SUM(F16,H16,J16,L16,M16,N16,O16,P16,Q16,R16,T16,U16,V16,X16,Y16,Z16,AA16,AC16,AD16,AF16,AG16)*Valores!$C$104</f>
        <v>105914.989</v>
      </c>
      <c r="AI16" s="125">
        <f t="shared" si="3"/>
        <v>1165064.879</v>
      </c>
      <c r="AJ16" s="125">
        <f>Valores!$C$32</f>
        <v>70000</v>
      </c>
      <c r="AK16" s="125">
        <v>0</v>
      </c>
      <c r="AL16" s="125">
        <f>Valores!$C$89</f>
        <v>0</v>
      </c>
      <c r="AM16" s="125">
        <f>Valores!C$39*B16</f>
        <v>0</v>
      </c>
      <c r="AN16" s="125">
        <f>IF($F$3="NO",0,Valores!$C$56)</f>
        <v>0</v>
      </c>
      <c r="AO16" s="125">
        <f t="shared" si="4"/>
        <v>70000</v>
      </c>
      <c r="AP16" s="125">
        <f>AI16*Valores!$C$72</f>
        <v>-128157.13669</v>
      </c>
      <c r="AQ16" s="125">
        <f>IF(AI16&lt;Valores!$E$73,-0.02,IF(AI16&lt;Valores!$F$73,-0.03,-0.04))*AI16</f>
        <v>-46602.595159999997</v>
      </c>
      <c r="AR16" s="125">
        <f>AI16*Valores!$C$75</f>
        <v>-64078.568345</v>
      </c>
      <c r="AS16" s="125">
        <f>Valores!$C$102</f>
        <v>-1270.1600000000001</v>
      </c>
      <c r="AT16" s="125">
        <f>IF($F$5=0,Valores!$C$103,(Valores!$C$103+$F$5*(Valores!$C$103)))</f>
        <v>-3700</v>
      </c>
      <c r="AU16" s="125">
        <f t="shared" si="6"/>
        <v>991256.41880499991</v>
      </c>
      <c r="AV16" s="125">
        <f t="shared" si="0"/>
        <v>-128157.13669</v>
      </c>
      <c r="AW16" s="125">
        <f t="shared" si="7"/>
        <v>-46602.595159999997</v>
      </c>
      <c r="AX16" s="125">
        <f>AI16*Valores!$C$76</f>
        <v>-31456.751732999997</v>
      </c>
      <c r="AY16" s="125">
        <f>AI16*Valores!$C$77</f>
        <v>-3495.1946370000001</v>
      </c>
      <c r="AZ16" s="125">
        <f t="shared" si="5"/>
        <v>1025353.20078</v>
      </c>
      <c r="BA16" s="125">
        <f>AI16*Valores!$C$79</f>
        <v>186410.38063999999</v>
      </c>
      <c r="BB16" s="125">
        <f>AI16*Valores!$C$80</f>
        <v>81554.541530000002</v>
      </c>
      <c r="BC16" s="125">
        <f>AI16*Valores!$C$81</f>
        <v>11650.648789999999</v>
      </c>
      <c r="BD16" s="125">
        <f>AI16*Valores!$C$83</f>
        <v>40777.270765000001</v>
      </c>
      <c r="BE16" s="125">
        <f>AI16*Valores!$C$85</f>
        <v>62913.503465999995</v>
      </c>
      <c r="BF16" s="125">
        <f>AI16*Valores!$C$84</f>
        <v>6990.3892740000001</v>
      </c>
      <c r="BG16" s="126">
        <v>33</v>
      </c>
      <c r="BH16" s="126">
        <v>45</v>
      </c>
      <c r="BI16" s="123" t="s">
        <v>8</v>
      </c>
    </row>
    <row r="17" spans="1:61" s="110" customFormat="1" ht="11.25" customHeight="1" x14ac:dyDescent="0.15">
      <c r="A17" s="123" t="s">
        <v>123</v>
      </c>
      <c r="B17" s="123">
        <v>1</v>
      </c>
      <c r="C17" s="126">
        <v>10</v>
      </c>
      <c r="D17" s="124" t="s">
        <v>124</v>
      </c>
      <c r="E17" s="192">
        <v>100</v>
      </c>
      <c r="F17" s="125">
        <f>ROUND(E17*Valores!$C$2,2)</f>
        <v>7759.67</v>
      </c>
      <c r="G17" s="192">
        <v>3727</v>
      </c>
      <c r="H17" s="125">
        <f>ROUND(G17*Valores!$C$2,2)</f>
        <v>289202.90000000002</v>
      </c>
      <c r="I17" s="192">
        <v>219</v>
      </c>
      <c r="J17" s="125">
        <f>ROUND(I17*Valores!$C$2,2)</f>
        <v>16993.68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86929.9</v>
      </c>
      <c r="N17" s="125">
        <f t="shared" si="1"/>
        <v>0</v>
      </c>
      <c r="O17" s="125">
        <f>Valores!$C$11</f>
        <v>69186.37</v>
      </c>
      <c r="P17" s="125">
        <f>Valores!$D$5</f>
        <v>39667.43</v>
      </c>
      <c r="Q17" s="125">
        <v>0</v>
      </c>
      <c r="R17" s="125">
        <f>IF($F$4="NO",Valores!$C$47,Valores!$C$47/2)</f>
        <v>33763.35</v>
      </c>
      <c r="S17" s="125">
        <v>0</v>
      </c>
      <c r="T17" s="125">
        <f t="shared" si="8"/>
        <v>0</v>
      </c>
      <c r="U17" s="125">
        <f t="shared" si="9"/>
        <v>313956.25</v>
      </c>
      <c r="V17" s="125">
        <f t="shared" si="10"/>
        <v>125582.5</v>
      </c>
      <c r="W17" s="192">
        <v>0</v>
      </c>
      <c r="X17" s="125">
        <f>ROUND(W17*Valores!$C$2,2)</f>
        <v>0</v>
      </c>
      <c r="Y17" s="125">
        <v>0</v>
      </c>
      <c r="Z17" s="125">
        <f>Valores!$C$96</f>
        <v>54315.88</v>
      </c>
      <c r="AA17" s="125">
        <f>Valores!$C$25</f>
        <v>1622.32</v>
      </c>
      <c r="AB17" s="214">
        <v>0</v>
      </c>
      <c r="AC17" s="125">
        <f t="shared" si="2"/>
        <v>0</v>
      </c>
      <c r="AD17" s="125">
        <f>Valores!$C$26</f>
        <v>1622.32</v>
      </c>
      <c r="AE17" s="192">
        <v>0</v>
      </c>
      <c r="AF17" s="125">
        <f>ROUND(AE17*Valores!$C$2,2)</f>
        <v>0</v>
      </c>
      <c r="AG17" s="125">
        <f>ROUND(IF($F$4="NO",Valores!$C$64,Valores!$C$64/2),2)</f>
        <v>18547.32</v>
      </c>
      <c r="AH17" s="125">
        <f>SUM(F17,H17,J17,L17,M17,N17,O17,P17,Q17,R17,T17,U17,V17,X17,Y17,Z17,AA17,AC17,AD17,AF17,AG17)*Valores!$C$104</f>
        <v>105914.989</v>
      </c>
      <c r="AI17" s="125">
        <f t="shared" si="3"/>
        <v>1165064.879</v>
      </c>
      <c r="AJ17" s="125">
        <f>Valores!$C$32</f>
        <v>70000</v>
      </c>
      <c r="AK17" s="125">
        <v>0</v>
      </c>
      <c r="AL17" s="125">
        <f>Valores!$C$89</f>
        <v>0</v>
      </c>
      <c r="AM17" s="125">
        <f>Valores!C$39*B17</f>
        <v>0</v>
      </c>
      <c r="AN17" s="125">
        <f>IF($F$3="NO",0,Valores!$C$56)</f>
        <v>0</v>
      </c>
      <c r="AO17" s="125">
        <f t="shared" si="4"/>
        <v>70000</v>
      </c>
      <c r="AP17" s="125">
        <f>AI17*Valores!$C$72</f>
        <v>-128157.13669</v>
      </c>
      <c r="AQ17" s="125">
        <f>IF(AI17&lt;Valores!$E$73,-0.02,IF(AI17&lt;Valores!$F$73,-0.03,-0.04))*AI17</f>
        <v>-46602.595159999997</v>
      </c>
      <c r="AR17" s="125">
        <f>AI17*Valores!$C$75</f>
        <v>-64078.568345</v>
      </c>
      <c r="AS17" s="125">
        <f>Valores!$C$102</f>
        <v>-1270.1600000000001</v>
      </c>
      <c r="AT17" s="125">
        <f>IF($F$5=0,Valores!$C$103,(Valores!$C$103+$F$5*(Valores!$C$103)))</f>
        <v>-3700</v>
      </c>
      <c r="AU17" s="125">
        <f t="shared" si="6"/>
        <v>991256.41880499991</v>
      </c>
      <c r="AV17" s="125">
        <f t="shared" si="0"/>
        <v>-128157.13669</v>
      </c>
      <c r="AW17" s="125">
        <f t="shared" si="7"/>
        <v>-46602.595159999997</v>
      </c>
      <c r="AX17" s="125">
        <f>AI17*Valores!$C$76</f>
        <v>-31456.751732999997</v>
      </c>
      <c r="AY17" s="125">
        <f>AI17*Valores!$C$77</f>
        <v>-3495.1946370000001</v>
      </c>
      <c r="AZ17" s="125">
        <f t="shared" si="5"/>
        <v>1025353.20078</v>
      </c>
      <c r="BA17" s="125">
        <f>AI17*Valores!$C$79</f>
        <v>186410.38063999999</v>
      </c>
      <c r="BB17" s="125">
        <f>AI17*Valores!$C$80</f>
        <v>81554.541530000002</v>
      </c>
      <c r="BC17" s="125">
        <f>AI17*Valores!$C$81</f>
        <v>11650.648789999999</v>
      </c>
      <c r="BD17" s="125">
        <f>AI17*Valores!$C$83</f>
        <v>40777.270765000001</v>
      </c>
      <c r="BE17" s="125">
        <f>AI17*Valores!$C$85</f>
        <v>62913.503465999995</v>
      </c>
      <c r="BF17" s="125">
        <f>AI17*Valores!$C$84</f>
        <v>6990.3892740000001</v>
      </c>
      <c r="BG17" s="126">
        <v>33</v>
      </c>
      <c r="BH17" s="126">
        <v>45</v>
      </c>
      <c r="BI17" s="123" t="s">
        <v>8</v>
      </c>
    </row>
    <row r="18" spans="1:61" s="110" customFormat="1" ht="11.25" customHeight="1" x14ac:dyDescent="0.15">
      <c r="A18" s="123" t="s">
        <v>125</v>
      </c>
      <c r="B18" s="123">
        <v>1</v>
      </c>
      <c r="C18" s="126">
        <v>11</v>
      </c>
      <c r="D18" s="124" t="s">
        <v>126</v>
      </c>
      <c r="E18" s="192">
        <v>100</v>
      </c>
      <c r="F18" s="125">
        <f>ROUND(E18*Valores!$C$2,2)</f>
        <v>7759.67</v>
      </c>
      <c r="G18" s="192">
        <v>3727</v>
      </c>
      <c r="H18" s="125">
        <f>ROUND(G18*Valores!$C$2,2)</f>
        <v>289202.90000000002</v>
      </c>
      <c r="I18" s="192">
        <v>219</v>
      </c>
      <c r="J18" s="125">
        <f>ROUND(I18*Valores!$C$2,2)</f>
        <v>16993.68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86929.9</v>
      </c>
      <c r="N18" s="125">
        <f t="shared" si="1"/>
        <v>0</v>
      </c>
      <c r="O18" s="125">
        <f>Valores!$C$11</f>
        <v>69186.37</v>
      </c>
      <c r="P18" s="125">
        <f>Valores!$D$5</f>
        <v>39667.43</v>
      </c>
      <c r="Q18" s="125">
        <v>0</v>
      </c>
      <c r="R18" s="125">
        <f>IF($F$4="NO",Valores!$C$47,Valores!$C$47/2)</f>
        <v>33763.35</v>
      </c>
      <c r="S18" s="125">
        <v>0</v>
      </c>
      <c r="T18" s="125">
        <f t="shared" si="8"/>
        <v>0</v>
      </c>
      <c r="U18" s="125">
        <f t="shared" si="9"/>
        <v>313956.25</v>
      </c>
      <c r="V18" s="125">
        <f t="shared" si="10"/>
        <v>125582.5</v>
      </c>
      <c r="W18" s="192">
        <v>0</v>
      </c>
      <c r="X18" s="125">
        <f>ROUND(W18*Valores!$C$2,2)</f>
        <v>0</v>
      </c>
      <c r="Y18" s="125">
        <v>0</v>
      </c>
      <c r="Z18" s="125">
        <f>Valores!$C$96</f>
        <v>54315.88</v>
      </c>
      <c r="AA18" s="125">
        <f>Valores!$C$25</f>
        <v>1622.32</v>
      </c>
      <c r="AB18" s="214">
        <v>0</v>
      </c>
      <c r="AC18" s="125">
        <f t="shared" si="2"/>
        <v>0</v>
      </c>
      <c r="AD18" s="125">
        <f>Valores!$C$26</f>
        <v>1622.32</v>
      </c>
      <c r="AE18" s="192">
        <v>0</v>
      </c>
      <c r="AF18" s="125">
        <f>ROUND(AE18*Valores!$C$2,2)</f>
        <v>0</v>
      </c>
      <c r="AG18" s="125">
        <f>ROUND(IF($F$4="NO",Valores!$C$64,Valores!$C$64/2),2)</f>
        <v>18547.32</v>
      </c>
      <c r="AH18" s="125">
        <f>SUM(F18,H18,J18,L18,M18,N18,O18,P18,Q18,R18,T18,U18,V18,X18,Y18,Z18,AA18,AC18,AD18,AF18,AG18)*Valores!$C$104</f>
        <v>105914.989</v>
      </c>
      <c r="AI18" s="125">
        <f t="shared" si="3"/>
        <v>1165064.879</v>
      </c>
      <c r="AJ18" s="125">
        <f>Valores!$C$32</f>
        <v>70000</v>
      </c>
      <c r="AK18" s="125">
        <v>0</v>
      </c>
      <c r="AL18" s="125">
        <f>Valores!$C$89</f>
        <v>0</v>
      </c>
      <c r="AM18" s="125">
        <f>Valores!C$39*B18</f>
        <v>0</v>
      </c>
      <c r="AN18" s="125">
        <f>IF($F$3="NO",0,Valores!$C$56)</f>
        <v>0</v>
      </c>
      <c r="AO18" s="125">
        <f t="shared" si="4"/>
        <v>70000</v>
      </c>
      <c r="AP18" s="125">
        <f>AI18*Valores!$C$72</f>
        <v>-128157.13669</v>
      </c>
      <c r="AQ18" s="125">
        <f>IF(AI18&lt;Valores!$E$73,-0.02,IF(AI18&lt;Valores!$F$73,-0.03,-0.04))*AI18</f>
        <v>-46602.595159999997</v>
      </c>
      <c r="AR18" s="125">
        <f>AI18*Valores!$C$75</f>
        <v>-64078.568345</v>
      </c>
      <c r="AS18" s="125">
        <f>Valores!$C$102</f>
        <v>-1270.1600000000001</v>
      </c>
      <c r="AT18" s="125">
        <f>IF($F$5=0,Valores!$C$103,(Valores!$C$103+$F$5*(Valores!$C$103)))</f>
        <v>-3700</v>
      </c>
      <c r="AU18" s="125">
        <f t="shared" si="6"/>
        <v>991256.41880499991</v>
      </c>
      <c r="AV18" s="125">
        <f t="shared" si="0"/>
        <v>-128157.13669</v>
      </c>
      <c r="AW18" s="125">
        <f t="shared" si="7"/>
        <v>-46602.595159999997</v>
      </c>
      <c r="AX18" s="125">
        <f>AI18*Valores!$C$76</f>
        <v>-31456.751732999997</v>
      </c>
      <c r="AY18" s="125">
        <f>AI18*Valores!$C$77</f>
        <v>-3495.1946370000001</v>
      </c>
      <c r="AZ18" s="125">
        <f t="shared" si="5"/>
        <v>1025353.20078</v>
      </c>
      <c r="BA18" s="125">
        <f>AI18*Valores!$C$79</f>
        <v>186410.38063999999</v>
      </c>
      <c r="BB18" s="125">
        <f>AI18*Valores!$C$80</f>
        <v>81554.541530000002</v>
      </c>
      <c r="BC18" s="125">
        <f>AI18*Valores!$C$81</f>
        <v>11650.648789999999</v>
      </c>
      <c r="BD18" s="125">
        <f>AI18*Valores!$C$83</f>
        <v>40777.270765000001</v>
      </c>
      <c r="BE18" s="125">
        <f>AI18*Valores!$C$85</f>
        <v>62913.503465999995</v>
      </c>
      <c r="BF18" s="125">
        <f>AI18*Valores!$C$84</f>
        <v>6990.3892740000001</v>
      </c>
      <c r="BG18" s="126"/>
      <c r="BH18" s="126">
        <v>45</v>
      </c>
      <c r="BI18" s="123" t="s">
        <v>8</v>
      </c>
    </row>
    <row r="19" spans="1:61" s="110" customFormat="1" ht="11.25" customHeight="1" x14ac:dyDescent="0.15">
      <c r="A19" s="123" t="s">
        <v>127</v>
      </c>
      <c r="B19" s="123">
        <v>1</v>
      </c>
      <c r="C19" s="126">
        <v>12</v>
      </c>
      <c r="D19" s="124" t="s">
        <v>128</v>
      </c>
      <c r="E19" s="192">
        <v>100</v>
      </c>
      <c r="F19" s="125">
        <f>ROUND(E19*Valores!$C$2,2)</f>
        <v>7759.67</v>
      </c>
      <c r="G19" s="192">
        <v>3727</v>
      </c>
      <c r="H19" s="125">
        <f>ROUND(G19*Valores!$C$2,2)</f>
        <v>289202.90000000002</v>
      </c>
      <c r="I19" s="192">
        <v>219</v>
      </c>
      <c r="J19" s="125">
        <f>ROUND(I19*Valores!$C$2,2)</f>
        <v>16993.68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86929.9</v>
      </c>
      <c r="N19" s="125">
        <f t="shared" si="1"/>
        <v>0</v>
      </c>
      <c r="O19" s="125">
        <f>Valores!$C$11</f>
        <v>69186.37</v>
      </c>
      <c r="P19" s="125">
        <f>Valores!$D$5</f>
        <v>39667.43</v>
      </c>
      <c r="Q19" s="125">
        <v>0</v>
      </c>
      <c r="R19" s="125">
        <f>IF($F$4="NO",Valores!$C$47,Valores!$C$47/2)</f>
        <v>33763.35</v>
      </c>
      <c r="S19" s="125">
        <v>0</v>
      </c>
      <c r="T19" s="125">
        <f t="shared" si="8"/>
        <v>0</v>
      </c>
      <c r="U19" s="125">
        <f t="shared" si="9"/>
        <v>313956.25</v>
      </c>
      <c r="V19" s="125">
        <f t="shared" si="10"/>
        <v>125582.5</v>
      </c>
      <c r="W19" s="192">
        <v>0</v>
      </c>
      <c r="X19" s="125">
        <f>ROUND(W19*Valores!$C$2,2)</f>
        <v>0</v>
      </c>
      <c r="Y19" s="125">
        <v>0</v>
      </c>
      <c r="Z19" s="125">
        <f>Valores!$C$96</f>
        <v>54315.88</v>
      </c>
      <c r="AA19" s="125">
        <f>Valores!$C$25</f>
        <v>1622.32</v>
      </c>
      <c r="AB19" s="214">
        <v>0</v>
      </c>
      <c r="AC19" s="125">
        <f t="shared" si="2"/>
        <v>0</v>
      </c>
      <c r="AD19" s="125">
        <f>Valores!$C$26</f>
        <v>1622.32</v>
      </c>
      <c r="AE19" s="192">
        <v>0</v>
      </c>
      <c r="AF19" s="125">
        <f>ROUND(AE19*Valores!$C$2,2)</f>
        <v>0</v>
      </c>
      <c r="AG19" s="125">
        <f>ROUND(IF($F$4="NO",Valores!$C$64,Valores!$C$64/2),2)</f>
        <v>18547.32</v>
      </c>
      <c r="AH19" s="125">
        <f>SUM(F19,H19,J19,L19,M19,N19,O19,P19,Q19,R19,T19,U19,V19,X19,Y19,Z19,AA19,AC19,AD19,AF19,AG19)*Valores!$C$104</f>
        <v>105914.989</v>
      </c>
      <c r="AI19" s="125">
        <f t="shared" si="3"/>
        <v>1165064.879</v>
      </c>
      <c r="AJ19" s="125">
        <f>Valores!$C$32</f>
        <v>70000</v>
      </c>
      <c r="AK19" s="125">
        <v>0</v>
      </c>
      <c r="AL19" s="125">
        <f>Valores!$C$89</f>
        <v>0</v>
      </c>
      <c r="AM19" s="125">
        <f>Valores!C$39*B19</f>
        <v>0</v>
      </c>
      <c r="AN19" s="125">
        <f>IF($F$3="NO",0,Valores!$C$56)</f>
        <v>0</v>
      </c>
      <c r="AO19" s="125">
        <f t="shared" si="4"/>
        <v>70000</v>
      </c>
      <c r="AP19" s="125">
        <f>AI19*Valores!$C$72</f>
        <v>-128157.13669</v>
      </c>
      <c r="AQ19" s="125">
        <f>IF(AI19&lt;Valores!$E$73,-0.02,IF(AI19&lt;Valores!$F$73,-0.03,-0.04))*AI19</f>
        <v>-46602.595159999997</v>
      </c>
      <c r="AR19" s="125">
        <f>AI19*Valores!$C$75</f>
        <v>-64078.568345</v>
      </c>
      <c r="AS19" s="125">
        <f>Valores!$C$102</f>
        <v>-1270.1600000000001</v>
      </c>
      <c r="AT19" s="125">
        <f>IF($F$5=0,Valores!$C$103,(Valores!$C$103+$F$5*(Valores!$C$103)))</f>
        <v>-3700</v>
      </c>
      <c r="AU19" s="125">
        <f t="shared" si="6"/>
        <v>991256.41880499991</v>
      </c>
      <c r="AV19" s="125">
        <f t="shared" si="0"/>
        <v>-128157.13669</v>
      </c>
      <c r="AW19" s="125">
        <f t="shared" si="7"/>
        <v>-46602.595159999997</v>
      </c>
      <c r="AX19" s="125">
        <f>AI19*Valores!$C$76</f>
        <v>-31456.751732999997</v>
      </c>
      <c r="AY19" s="125">
        <f>AI19*Valores!$C$77</f>
        <v>-3495.1946370000001</v>
      </c>
      <c r="AZ19" s="125">
        <f t="shared" si="5"/>
        <v>1025353.20078</v>
      </c>
      <c r="BA19" s="125">
        <f>AI19*Valores!$C$79</f>
        <v>186410.38063999999</v>
      </c>
      <c r="BB19" s="125">
        <f>AI19*Valores!$C$80</f>
        <v>81554.541530000002</v>
      </c>
      <c r="BC19" s="125">
        <f>AI19*Valores!$C$81</f>
        <v>11650.648789999999</v>
      </c>
      <c r="BD19" s="125">
        <f>AI19*Valores!$C$83</f>
        <v>40777.270765000001</v>
      </c>
      <c r="BE19" s="125">
        <f>AI19*Valores!$C$85</f>
        <v>62913.503465999995</v>
      </c>
      <c r="BF19" s="125">
        <f>AI19*Valores!$C$84</f>
        <v>6990.3892740000001</v>
      </c>
      <c r="BG19" s="126"/>
      <c r="BH19" s="126">
        <v>45</v>
      </c>
      <c r="BI19" s="123" t="s">
        <v>8</v>
      </c>
    </row>
    <row r="20" spans="1:61" s="110" customFormat="1" ht="11.25" customHeight="1" x14ac:dyDescent="0.15">
      <c r="A20" s="123" t="s">
        <v>129</v>
      </c>
      <c r="B20" s="123">
        <v>1</v>
      </c>
      <c r="C20" s="126">
        <v>13</v>
      </c>
      <c r="D20" s="124" t="s">
        <v>130</v>
      </c>
      <c r="E20" s="192">
        <v>100</v>
      </c>
      <c r="F20" s="125">
        <f>ROUND(E20*Valores!$C$2,2)</f>
        <v>7759.67</v>
      </c>
      <c r="G20" s="192">
        <v>3727</v>
      </c>
      <c r="H20" s="125">
        <f>ROUND(G20*Valores!$C$2,2)</f>
        <v>289202.90000000002</v>
      </c>
      <c r="I20" s="192">
        <v>219</v>
      </c>
      <c r="J20" s="125">
        <f>ROUND(I20*Valores!$C$2,2)</f>
        <v>16993.68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86929.9</v>
      </c>
      <c r="N20" s="125">
        <f t="shared" si="1"/>
        <v>0</v>
      </c>
      <c r="O20" s="125">
        <f>Valores!$C$11</f>
        <v>69186.37</v>
      </c>
      <c r="P20" s="125">
        <f>Valores!$D$5</f>
        <v>39667.43</v>
      </c>
      <c r="Q20" s="125">
        <v>0</v>
      </c>
      <c r="R20" s="125">
        <f>IF($F$4="NO",Valores!$C$47,Valores!$C$47/2)</f>
        <v>33763.35</v>
      </c>
      <c r="S20" s="125">
        <v>0</v>
      </c>
      <c r="T20" s="125">
        <f t="shared" si="8"/>
        <v>0</v>
      </c>
      <c r="U20" s="125">
        <f t="shared" si="9"/>
        <v>313956.25</v>
      </c>
      <c r="V20" s="125">
        <f t="shared" si="10"/>
        <v>125582.5</v>
      </c>
      <c r="W20" s="192">
        <v>0</v>
      </c>
      <c r="X20" s="125">
        <f>ROUND(W20*Valores!$C$2,2)</f>
        <v>0</v>
      </c>
      <c r="Y20" s="125">
        <v>0</v>
      </c>
      <c r="Z20" s="125">
        <f>Valores!$C$96</f>
        <v>54315.88</v>
      </c>
      <c r="AA20" s="125">
        <f>Valores!$C$25</f>
        <v>1622.32</v>
      </c>
      <c r="AB20" s="214">
        <v>0</v>
      </c>
      <c r="AC20" s="125">
        <f t="shared" si="2"/>
        <v>0</v>
      </c>
      <c r="AD20" s="125">
        <f>Valores!$C$26</f>
        <v>1622.32</v>
      </c>
      <c r="AE20" s="192">
        <v>0</v>
      </c>
      <c r="AF20" s="125">
        <f>ROUND(AE20*Valores!$C$2,2)</f>
        <v>0</v>
      </c>
      <c r="AG20" s="125">
        <f>ROUND(IF($F$4="NO",Valores!$C$64,Valores!$C$64/2),2)</f>
        <v>18547.32</v>
      </c>
      <c r="AH20" s="125">
        <f>SUM(F20,H20,J20,L20,M20,N20,O20,P20,Q20,R20,T20,U20,V20,X20,Y20,Z20,AA20,AC20,AD20,AF20,AG20)*Valores!$C$104</f>
        <v>105914.989</v>
      </c>
      <c r="AI20" s="125">
        <f t="shared" si="3"/>
        <v>1165064.879</v>
      </c>
      <c r="AJ20" s="125">
        <f>Valores!$C$32</f>
        <v>70000</v>
      </c>
      <c r="AK20" s="125">
        <v>0</v>
      </c>
      <c r="AL20" s="125">
        <f>Valores!$C$89</f>
        <v>0</v>
      </c>
      <c r="AM20" s="125">
        <f>Valores!C$39*B20</f>
        <v>0</v>
      </c>
      <c r="AN20" s="125">
        <f>IF($F$3="NO",0,Valores!$C$56)</f>
        <v>0</v>
      </c>
      <c r="AO20" s="125">
        <f t="shared" si="4"/>
        <v>70000</v>
      </c>
      <c r="AP20" s="125">
        <f>AI20*Valores!$C$72</f>
        <v>-128157.13669</v>
      </c>
      <c r="AQ20" s="125">
        <f>IF(AI20&lt;Valores!$E$73,-0.02,IF(AI20&lt;Valores!$F$73,-0.03,-0.04))*AI20</f>
        <v>-46602.595159999997</v>
      </c>
      <c r="AR20" s="125">
        <f>AI20*Valores!$C$75</f>
        <v>-64078.568345</v>
      </c>
      <c r="AS20" s="125">
        <f>Valores!$C$102</f>
        <v>-1270.1600000000001</v>
      </c>
      <c r="AT20" s="125">
        <f>IF($F$5=0,Valores!$C$103,(Valores!$C$103+$F$5*(Valores!$C$103)))</f>
        <v>-3700</v>
      </c>
      <c r="AU20" s="125">
        <f t="shared" si="6"/>
        <v>991256.41880499991</v>
      </c>
      <c r="AV20" s="125">
        <f t="shared" si="0"/>
        <v>-128157.13669</v>
      </c>
      <c r="AW20" s="125">
        <f t="shared" si="7"/>
        <v>-46602.595159999997</v>
      </c>
      <c r="AX20" s="125">
        <f>AI20*Valores!$C$76</f>
        <v>-31456.751732999997</v>
      </c>
      <c r="AY20" s="125">
        <f>AI20*Valores!$C$77</f>
        <v>-3495.1946370000001</v>
      </c>
      <c r="AZ20" s="125">
        <f t="shared" si="5"/>
        <v>1025353.20078</v>
      </c>
      <c r="BA20" s="125">
        <f>AI20*Valores!$C$79</f>
        <v>186410.38063999999</v>
      </c>
      <c r="BB20" s="125">
        <f>AI20*Valores!$C$80</f>
        <v>81554.541530000002</v>
      </c>
      <c r="BC20" s="125">
        <f>AI20*Valores!$C$81</f>
        <v>11650.648789999999</v>
      </c>
      <c r="BD20" s="125">
        <f>AI20*Valores!$C$83</f>
        <v>40777.270765000001</v>
      </c>
      <c r="BE20" s="125">
        <f>AI20*Valores!$C$85</f>
        <v>62913.503465999995</v>
      </c>
      <c r="BF20" s="125">
        <f>AI20*Valores!$C$84</f>
        <v>6990.3892740000001</v>
      </c>
      <c r="BG20" s="126"/>
      <c r="BH20" s="126">
        <v>45</v>
      </c>
      <c r="BI20" s="123" t="s">
        <v>8</v>
      </c>
    </row>
    <row r="21" spans="1:61" s="110" customFormat="1" ht="11.25" customHeight="1" x14ac:dyDescent="0.15">
      <c r="A21" s="123" t="s">
        <v>131</v>
      </c>
      <c r="B21" s="123">
        <v>1</v>
      </c>
      <c r="C21" s="126">
        <v>14</v>
      </c>
      <c r="D21" s="124" t="s">
        <v>132</v>
      </c>
      <c r="E21" s="192">
        <v>107</v>
      </c>
      <c r="F21" s="125">
        <f>ROUND(E21*Valores!$C$2,2)</f>
        <v>8302.85</v>
      </c>
      <c r="G21" s="192">
        <v>3720</v>
      </c>
      <c r="H21" s="125">
        <f>ROUND(G21*Valores!$C$2,2)</f>
        <v>288659.71999999997</v>
      </c>
      <c r="I21" s="192">
        <v>1226</v>
      </c>
      <c r="J21" s="125">
        <f>ROUND(I21*Valores!$C$2,2)</f>
        <v>95133.55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117617.69</v>
      </c>
      <c r="N21" s="125">
        <f t="shared" si="1"/>
        <v>0</v>
      </c>
      <c r="O21" s="125">
        <f>Valores!$C$12</f>
        <v>176033.53</v>
      </c>
      <c r="P21" s="125">
        <f>Valores!$D$5</f>
        <v>39667.43</v>
      </c>
      <c r="Q21" s="125">
        <v>0</v>
      </c>
      <c r="R21" s="125">
        <f>IF($F$4="NO",Valores!$C$48,Valores!$C$48/2)</f>
        <v>41465.839999999997</v>
      </c>
      <c r="S21" s="125">
        <f>Valores!$C$19</f>
        <v>36908.81</v>
      </c>
      <c r="T21" s="125">
        <f t="shared" si="8"/>
        <v>36908.81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Valores!$C$98</f>
        <v>108631.74</v>
      </c>
      <c r="AA21" s="125">
        <f>Valores!$C$25</f>
        <v>1622.32</v>
      </c>
      <c r="AB21" s="214">
        <v>0</v>
      </c>
      <c r="AC21" s="125">
        <f t="shared" si="2"/>
        <v>0</v>
      </c>
      <c r="AD21" s="125">
        <f>Valores!$C$26</f>
        <v>1622.32</v>
      </c>
      <c r="AE21" s="192">
        <v>0</v>
      </c>
      <c r="AF21" s="125">
        <f>ROUND(AE21*Valores!$C$2,2)</f>
        <v>0</v>
      </c>
      <c r="AG21" s="125">
        <f>ROUND(IF($F$4="NO",Valores!$C$64,Valores!$C$64/2),2)</f>
        <v>18547.32</v>
      </c>
      <c r="AH21" s="125">
        <f>SUM(F21,H21,J21,L21,M21,N21,O21,P21,Q21,R21,T21,U21,V21,X21,Y21,Z21,AA21,AC21,AD21,AF21,AG21)*Valores!$C$104</f>
        <v>93421.311999999976</v>
      </c>
      <c r="AI21" s="125">
        <f t="shared" si="3"/>
        <v>1027634.4319999998</v>
      </c>
      <c r="AJ21" s="125">
        <f>Valores!$C$32</f>
        <v>70000</v>
      </c>
      <c r="AK21" s="125">
        <v>0</v>
      </c>
      <c r="AL21" s="125">
        <f>Valores!$C$91</f>
        <v>0</v>
      </c>
      <c r="AM21" s="125">
        <f>Valores!C$39*B21</f>
        <v>0</v>
      </c>
      <c r="AN21" s="125">
        <f>IF($F$3="NO",0,Valores!$C$56)</f>
        <v>0</v>
      </c>
      <c r="AO21" s="125">
        <f t="shared" si="4"/>
        <v>70000</v>
      </c>
      <c r="AP21" s="125">
        <f>AI21*Valores!$C$72</f>
        <v>-113039.78751999998</v>
      </c>
      <c r="AQ21" s="125">
        <f>IF(AI21&lt;Valores!$E$73,-0.02,IF(AI21&lt;Valores!$F$73,-0.03,-0.04))*AI21</f>
        <v>-41105.377279999993</v>
      </c>
      <c r="AR21" s="125">
        <f>AI21*Valores!$C$75</f>
        <v>-56519.893759999992</v>
      </c>
      <c r="AS21" s="125">
        <f>Valores!$C$102</f>
        <v>-1270.1600000000001</v>
      </c>
      <c r="AT21" s="125">
        <f>IF($F$5=0,Valores!$C$103,(Valores!$C$103+$F$5*(Valores!$C$103)))</f>
        <v>-3700</v>
      </c>
      <c r="AU21" s="125">
        <f t="shared" si="6"/>
        <v>881999.21343999985</v>
      </c>
      <c r="AV21" s="125">
        <f t="shared" si="0"/>
        <v>-113039.78751999998</v>
      </c>
      <c r="AW21" s="125">
        <f t="shared" si="7"/>
        <v>-41105.377279999993</v>
      </c>
      <c r="AX21" s="125">
        <f>AI21*Valores!$C$76</f>
        <v>-27746.129663999993</v>
      </c>
      <c r="AY21" s="125">
        <f>AI21*Valores!$C$77</f>
        <v>-3082.9032959999995</v>
      </c>
      <c r="AZ21" s="125">
        <f t="shared" si="5"/>
        <v>912660.23423999979</v>
      </c>
      <c r="BA21" s="125">
        <f>AI21*Valores!$C$79</f>
        <v>164421.50911999997</v>
      </c>
      <c r="BB21" s="125">
        <f>AI21*Valores!$C$80</f>
        <v>71934.410239999997</v>
      </c>
      <c r="BC21" s="125">
        <f>AI21*Valores!$C$81</f>
        <v>10276.344319999998</v>
      </c>
      <c r="BD21" s="125">
        <f>AI21*Valores!$C$83</f>
        <v>35967.205119999999</v>
      </c>
      <c r="BE21" s="125">
        <f>AI21*Valores!$C$85</f>
        <v>55492.259327999986</v>
      </c>
      <c r="BF21" s="125">
        <f>AI21*Valores!$C$84</f>
        <v>6165.806591999999</v>
      </c>
      <c r="BG21" s="126"/>
      <c r="BH21" s="126">
        <v>45</v>
      </c>
      <c r="BI21" s="123" t="s">
        <v>4</v>
      </c>
    </row>
    <row r="22" spans="1:61" s="110" customFormat="1" ht="11.25" customHeight="1" x14ac:dyDescent="0.15">
      <c r="A22" s="123" t="s">
        <v>133</v>
      </c>
      <c r="B22" s="123">
        <v>1</v>
      </c>
      <c r="C22" s="126">
        <v>15</v>
      </c>
      <c r="D22" s="124" t="s">
        <v>134</v>
      </c>
      <c r="E22" s="192">
        <v>100</v>
      </c>
      <c r="F22" s="125">
        <f>ROUND(E22*Valores!$C$2,2)</f>
        <v>7759.67</v>
      </c>
      <c r="G22" s="192">
        <v>3727</v>
      </c>
      <c r="H22" s="125">
        <f>ROUND(G22*Valores!$C$2,2)</f>
        <v>289202.90000000002</v>
      </c>
      <c r="I22" s="192">
        <v>219</v>
      </c>
      <c r="J22" s="125">
        <f>ROUND(I22*Valores!$C$2,2)</f>
        <v>16993.68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86929.9</v>
      </c>
      <c r="N22" s="125">
        <f t="shared" si="1"/>
        <v>0</v>
      </c>
      <c r="O22" s="125">
        <f>Valores!$C$11</f>
        <v>69186.37</v>
      </c>
      <c r="P22" s="125">
        <f>Valores!$D$5</f>
        <v>39667.43</v>
      </c>
      <c r="Q22" s="125">
        <v>0</v>
      </c>
      <c r="R22" s="125">
        <f>IF($F$4="NO",Valores!$C$47,Valores!$C$47/2)</f>
        <v>33763.35</v>
      </c>
      <c r="S22" s="125">
        <v>0</v>
      </c>
      <c r="T22" s="125">
        <f t="shared" si="8"/>
        <v>0</v>
      </c>
      <c r="U22" s="125">
        <f>SUM(F22,H22,J22)</f>
        <v>313956.25</v>
      </c>
      <c r="V22" s="125">
        <f>INT((SUM(F22,H22,J22)*0.4*100)+0.49)/100</f>
        <v>125582.5</v>
      </c>
      <c r="W22" s="192">
        <v>0</v>
      </c>
      <c r="X22" s="125">
        <f>ROUND(W22*Valores!$C$2,2)</f>
        <v>0</v>
      </c>
      <c r="Y22" s="125">
        <v>0</v>
      </c>
      <c r="Z22" s="125">
        <f>Valores!$C$96</f>
        <v>54315.88</v>
      </c>
      <c r="AA22" s="125">
        <f>Valores!$C$25</f>
        <v>1622.32</v>
      </c>
      <c r="AB22" s="214">
        <v>0</v>
      </c>
      <c r="AC22" s="125">
        <f t="shared" si="2"/>
        <v>0</v>
      </c>
      <c r="AD22" s="125">
        <f>Valores!$C$26</f>
        <v>1622.32</v>
      </c>
      <c r="AE22" s="192">
        <v>0</v>
      </c>
      <c r="AF22" s="125">
        <f>ROUND(AE22*Valores!$C$2,2)</f>
        <v>0</v>
      </c>
      <c r="AG22" s="125">
        <f>ROUND(IF($F$4="NO",Valores!$C$64,Valores!$C$64/2),2)</f>
        <v>18547.32</v>
      </c>
      <c r="AH22" s="125">
        <f>SUM(F22,H22,J22,L22,M22,N22,O22,P22,Q22,R22,T22,U22,V22,X22,Y22,Z22,AA22,AC22,AD22,AF22,AG22)*Valores!$C$104</f>
        <v>105914.989</v>
      </c>
      <c r="AI22" s="125">
        <f t="shared" si="3"/>
        <v>1165064.879</v>
      </c>
      <c r="AJ22" s="125">
        <f>Valores!$C$32</f>
        <v>70000</v>
      </c>
      <c r="AK22" s="125">
        <v>0</v>
      </c>
      <c r="AL22" s="125">
        <f>Valores!$C$89</f>
        <v>0</v>
      </c>
      <c r="AM22" s="125">
        <f>Valores!C$39*B22</f>
        <v>0</v>
      </c>
      <c r="AN22" s="125">
        <f>IF($F$3="NO",0,Valores!$C$56)</f>
        <v>0</v>
      </c>
      <c r="AO22" s="125">
        <f t="shared" si="4"/>
        <v>70000</v>
      </c>
      <c r="AP22" s="125">
        <f>AI22*Valores!$C$72</f>
        <v>-128157.13669</v>
      </c>
      <c r="AQ22" s="125">
        <f>IF(AI22&lt;Valores!$E$73,-0.02,IF(AI22&lt;Valores!$F$73,-0.03,-0.04))*AI22</f>
        <v>-46602.595159999997</v>
      </c>
      <c r="AR22" s="125">
        <f>AI22*Valores!$C$75</f>
        <v>-64078.568345</v>
      </c>
      <c r="AS22" s="125">
        <f>Valores!$C$102</f>
        <v>-1270.1600000000001</v>
      </c>
      <c r="AT22" s="125">
        <f>IF($F$5=0,Valores!$C$103,(Valores!$C$103+$F$5*(Valores!$C$103)))</f>
        <v>-3700</v>
      </c>
      <c r="AU22" s="125">
        <f t="shared" si="6"/>
        <v>991256.41880499991</v>
      </c>
      <c r="AV22" s="125">
        <f t="shared" si="0"/>
        <v>-128157.13669</v>
      </c>
      <c r="AW22" s="125">
        <f t="shared" si="7"/>
        <v>-46602.595159999997</v>
      </c>
      <c r="AX22" s="125">
        <f>AI22*Valores!$C$76</f>
        <v>-31456.751732999997</v>
      </c>
      <c r="AY22" s="125">
        <f>AI22*Valores!$C$77</f>
        <v>-3495.1946370000001</v>
      </c>
      <c r="AZ22" s="125">
        <f t="shared" si="5"/>
        <v>1025353.20078</v>
      </c>
      <c r="BA22" s="125">
        <f>AI22*Valores!$C$79</f>
        <v>186410.38063999999</v>
      </c>
      <c r="BB22" s="125">
        <f>AI22*Valores!$C$80</f>
        <v>81554.541530000002</v>
      </c>
      <c r="BC22" s="125">
        <f>AI22*Valores!$C$81</f>
        <v>11650.648789999999</v>
      </c>
      <c r="BD22" s="125">
        <f>AI22*Valores!$C$83</f>
        <v>40777.270765000001</v>
      </c>
      <c r="BE22" s="125">
        <f>AI22*Valores!$C$85</f>
        <v>62913.503465999995</v>
      </c>
      <c r="BF22" s="125">
        <f>AI22*Valores!$C$84</f>
        <v>6990.3892740000001</v>
      </c>
      <c r="BG22" s="126"/>
      <c r="BH22" s="126">
        <v>45</v>
      </c>
      <c r="BI22" s="123" t="s">
        <v>8</v>
      </c>
    </row>
    <row r="23" spans="1:61" s="110" customFormat="1" ht="11.25" customHeight="1" x14ac:dyDescent="0.15">
      <c r="A23" s="123" t="s">
        <v>135</v>
      </c>
      <c r="B23" s="123">
        <v>1</v>
      </c>
      <c r="C23" s="126">
        <v>16</v>
      </c>
      <c r="D23" s="124" t="s">
        <v>136</v>
      </c>
      <c r="E23" s="192">
        <v>100</v>
      </c>
      <c r="F23" s="125">
        <f>ROUND(E23*Valores!$C$2,2)</f>
        <v>7759.67</v>
      </c>
      <c r="G23" s="192">
        <v>3727</v>
      </c>
      <c r="H23" s="125">
        <f>ROUND(G23*Valores!$C$2,2)</f>
        <v>289202.90000000002</v>
      </c>
      <c r="I23" s="192">
        <v>219</v>
      </c>
      <c r="J23" s="125">
        <f>ROUND(I23*Valores!$C$2,2)</f>
        <v>16993.68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86929.9</v>
      </c>
      <c r="N23" s="125">
        <f t="shared" si="1"/>
        <v>0</v>
      </c>
      <c r="O23" s="125">
        <f>Valores!$C$11</f>
        <v>69186.37</v>
      </c>
      <c r="P23" s="125">
        <f>Valores!$D$5</f>
        <v>39667.43</v>
      </c>
      <c r="Q23" s="125">
        <v>0</v>
      </c>
      <c r="R23" s="125">
        <f>IF($F$4="NO",Valores!$C$47,Valores!$C$47/2)</f>
        <v>33763.35</v>
      </c>
      <c r="S23" s="125">
        <v>0</v>
      </c>
      <c r="T23" s="125">
        <f t="shared" si="8"/>
        <v>0</v>
      </c>
      <c r="U23" s="125">
        <f>SUM(F23,H23,J23)</f>
        <v>313956.25</v>
      </c>
      <c r="V23" s="125">
        <f>INT((SUM(F23,H23,J23)*0.4*100)+0.49)/100</f>
        <v>125582.5</v>
      </c>
      <c r="W23" s="192">
        <v>0</v>
      </c>
      <c r="X23" s="125">
        <f>ROUND(W23*Valores!$C$2,2)</f>
        <v>0</v>
      </c>
      <c r="Y23" s="125">
        <v>0</v>
      </c>
      <c r="Z23" s="125">
        <f>Valores!$C$96</f>
        <v>54315.88</v>
      </c>
      <c r="AA23" s="125">
        <f>Valores!$C$25</f>
        <v>1622.32</v>
      </c>
      <c r="AB23" s="214">
        <v>0</v>
      </c>
      <c r="AC23" s="125">
        <f t="shared" si="2"/>
        <v>0</v>
      </c>
      <c r="AD23" s="125">
        <f>Valores!$C$26</f>
        <v>1622.32</v>
      </c>
      <c r="AE23" s="192">
        <v>0</v>
      </c>
      <c r="AF23" s="125">
        <f>ROUND(AE23*Valores!$C$2,2)</f>
        <v>0</v>
      </c>
      <c r="AG23" s="125">
        <f>ROUND(IF($F$4="NO",Valores!$C$64,Valores!$C$64/2),2)</f>
        <v>18547.32</v>
      </c>
      <c r="AH23" s="125">
        <f>SUM(F23,H23,J23,L23,M23,N23,O23,P23,Q23,R23,T23,U23,V23,X23,Y23,Z23,AA23,AC23,AD23,AF23,AG23)*Valores!$C$104</f>
        <v>105914.989</v>
      </c>
      <c r="AI23" s="125">
        <f t="shared" si="3"/>
        <v>1165064.879</v>
      </c>
      <c r="AJ23" s="125">
        <f>Valores!$C$32</f>
        <v>70000</v>
      </c>
      <c r="AK23" s="125">
        <v>0</v>
      </c>
      <c r="AL23" s="125">
        <f>Valores!$C$89</f>
        <v>0</v>
      </c>
      <c r="AM23" s="125">
        <f>Valores!C$39*B23</f>
        <v>0</v>
      </c>
      <c r="AN23" s="125">
        <f>IF($F$3="NO",0,Valores!$C$56)</f>
        <v>0</v>
      </c>
      <c r="AO23" s="125">
        <f t="shared" si="4"/>
        <v>70000</v>
      </c>
      <c r="AP23" s="125">
        <f>AI23*Valores!$C$72</f>
        <v>-128157.13669</v>
      </c>
      <c r="AQ23" s="125">
        <f>IF(AI23&lt;Valores!$E$73,-0.02,IF(AI23&lt;Valores!$F$73,-0.03,-0.04))*AI23</f>
        <v>-46602.595159999997</v>
      </c>
      <c r="AR23" s="125">
        <f>AI23*Valores!$C$75</f>
        <v>-64078.568345</v>
      </c>
      <c r="AS23" s="125">
        <f>Valores!$C$102</f>
        <v>-1270.1600000000001</v>
      </c>
      <c r="AT23" s="125">
        <f>IF($F$5=0,Valores!$C$103,(Valores!$C$103+$F$5*(Valores!$C$103)))</f>
        <v>-3700</v>
      </c>
      <c r="AU23" s="125">
        <f t="shared" si="6"/>
        <v>991256.41880499991</v>
      </c>
      <c r="AV23" s="125">
        <f t="shared" si="0"/>
        <v>-128157.13669</v>
      </c>
      <c r="AW23" s="125">
        <f t="shared" si="7"/>
        <v>-46602.595159999997</v>
      </c>
      <c r="AX23" s="125">
        <f>AI23*Valores!$C$76</f>
        <v>-31456.751732999997</v>
      </c>
      <c r="AY23" s="125">
        <f>AI23*Valores!$C$77</f>
        <v>-3495.1946370000001</v>
      </c>
      <c r="AZ23" s="125">
        <f t="shared" si="5"/>
        <v>1025353.20078</v>
      </c>
      <c r="BA23" s="125">
        <f>AI23*Valores!$C$79</f>
        <v>186410.38063999999</v>
      </c>
      <c r="BB23" s="125">
        <f>AI23*Valores!$C$80</f>
        <v>81554.541530000002</v>
      </c>
      <c r="BC23" s="125">
        <f>AI23*Valores!$C$81</f>
        <v>11650.648789999999</v>
      </c>
      <c r="BD23" s="125">
        <f>AI23*Valores!$C$83</f>
        <v>40777.270765000001</v>
      </c>
      <c r="BE23" s="125">
        <f>AI23*Valores!$C$85</f>
        <v>62913.503465999995</v>
      </c>
      <c r="BF23" s="125">
        <f>AI23*Valores!$C$84</f>
        <v>6990.3892740000001</v>
      </c>
      <c r="BG23" s="126"/>
      <c r="BH23" s="126">
        <v>45</v>
      </c>
      <c r="BI23" s="123" t="s">
        <v>8</v>
      </c>
    </row>
    <row r="24" spans="1:61" s="110" customFormat="1" ht="11.25" customHeight="1" x14ac:dyDescent="0.15">
      <c r="A24" s="123" t="s">
        <v>137</v>
      </c>
      <c r="B24" s="123">
        <v>1</v>
      </c>
      <c r="C24" s="126">
        <v>17</v>
      </c>
      <c r="D24" s="124" t="s">
        <v>138</v>
      </c>
      <c r="E24" s="192">
        <v>100</v>
      </c>
      <c r="F24" s="125">
        <f>ROUND(E24*Valores!$C$2,2)</f>
        <v>7759.67</v>
      </c>
      <c r="G24" s="192">
        <v>3727</v>
      </c>
      <c r="H24" s="125">
        <f>ROUND(G24*Valores!$C$2,2)</f>
        <v>289202.90000000002</v>
      </c>
      <c r="I24" s="192">
        <v>219</v>
      </c>
      <c r="J24" s="125">
        <f>ROUND(I24*Valores!$C$2,2)</f>
        <v>16993.68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86929.9</v>
      </c>
      <c r="N24" s="125">
        <f t="shared" si="1"/>
        <v>0</v>
      </c>
      <c r="O24" s="125">
        <f>Valores!$C$11</f>
        <v>69186.37</v>
      </c>
      <c r="P24" s="125">
        <f>Valores!$D$5</f>
        <v>39667.43</v>
      </c>
      <c r="Q24" s="125">
        <v>0</v>
      </c>
      <c r="R24" s="125">
        <f>IF($F$4="NO",Valores!$C$47,Valores!$C$47/2)</f>
        <v>33763.35</v>
      </c>
      <c r="S24" s="125">
        <v>0</v>
      </c>
      <c r="T24" s="125">
        <f t="shared" si="8"/>
        <v>0</v>
      </c>
      <c r="U24" s="125">
        <f>SUM(F24,H24,J24)</f>
        <v>313956.25</v>
      </c>
      <c r="V24" s="125">
        <f>INT((SUM(F24,H24,J24)*0.4*100)+0.49)/100</f>
        <v>125582.5</v>
      </c>
      <c r="W24" s="192">
        <v>0</v>
      </c>
      <c r="X24" s="125">
        <f>ROUND(W24*Valores!$C$2,2)</f>
        <v>0</v>
      </c>
      <c r="Y24" s="125">
        <v>0</v>
      </c>
      <c r="Z24" s="125">
        <f>Valores!$C$96</f>
        <v>54315.88</v>
      </c>
      <c r="AA24" s="125">
        <f>Valores!$C$25</f>
        <v>1622.32</v>
      </c>
      <c r="AB24" s="214">
        <v>0</v>
      </c>
      <c r="AC24" s="125">
        <f t="shared" si="2"/>
        <v>0</v>
      </c>
      <c r="AD24" s="125">
        <f>Valores!$C$26</f>
        <v>1622.32</v>
      </c>
      <c r="AE24" s="192">
        <v>0</v>
      </c>
      <c r="AF24" s="125">
        <f>ROUND(AE24*Valores!$C$2,2)</f>
        <v>0</v>
      </c>
      <c r="AG24" s="125">
        <f>ROUND(IF($F$4="NO",Valores!$C$64,Valores!$C$64/2),2)</f>
        <v>18547.32</v>
      </c>
      <c r="AH24" s="125">
        <f>SUM(F24,H24,J24,L24,M24,N24,O24,P24,Q24,R24,T24,U24,V24,X24,Y24,Z24,AA24,AC24,AD24,AF24,AG24)*Valores!$C$104</f>
        <v>105914.989</v>
      </c>
      <c r="AI24" s="125">
        <f t="shared" si="3"/>
        <v>1165064.879</v>
      </c>
      <c r="AJ24" s="125">
        <f>Valores!$C$32</f>
        <v>70000</v>
      </c>
      <c r="AK24" s="125">
        <v>0</v>
      </c>
      <c r="AL24" s="125">
        <f>Valores!$C$89</f>
        <v>0</v>
      </c>
      <c r="AM24" s="125">
        <f>Valores!C$39*B24</f>
        <v>0</v>
      </c>
      <c r="AN24" s="125">
        <f>IF($F$3="NO",0,Valores!$C$56)</f>
        <v>0</v>
      </c>
      <c r="AO24" s="125">
        <f t="shared" si="4"/>
        <v>70000</v>
      </c>
      <c r="AP24" s="125">
        <f>AI24*Valores!$C$72</f>
        <v>-128157.13669</v>
      </c>
      <c r="AQ24" s="125">
        <f>IF(AI24&lt;Valores!$E$73,-0.02,IF(AI24&lt;Valores!$F$73,-0.03,-0.04))*AI24</f>
        <v>-46602.595159999997</v>
      </c>
      <c r="AR24" s="125">
        <f>AI24*Valores!$C$75</f>
        <v>-64078.568345</v>
      </c>
      <c r="AS24" s="125">
        <f>Valores!$C$102</f>
        <v>-1270.1600000000001</v>
      </c>
      <c r="AT24" s="125">
        <f>IF($F$5=0,Valores!$C$103,(Valores!$C$103+$F$5*(Valores!$C$103)))</f>
        <v>-3700</v>
      </c>
      <c r="AU24" s="125">
        <f t="shared" si="6"/>
        <v>991256.41880499991</v>
      </c>
      <c r="AV24" s="125">
        <f t="shared" si="0"/>
        <v>-128157.13669</v>
      </c>
      <c r="AW24" s="125">
        <f t="shared" si="7"/>
        <v>-46602.595159999997</v>
      </c>
      <c r="AX24" s="125">
        <f>AI24*Valores!$C$76</f>
        <v>-31456.751732999997</v>
      </c>
      <c r="AY24" s="125">
        <f>AI24*Valores!$C$77</f>
        <v>-3495.1946370000001</v>
      </c>
      <c r="AZ24" s="125">
        <f t="shared" si="5"/>
        <v>1025353.20078</v>
      </c>
      <c r="BA24" s="125">
        <f>AI24*Valores!$C$79</f>
        <v>186410.38063999999</v>
      </c>
      <c r="BB24" s="125">
        <f>AI24*Valores!$C$80</f>
        <v>81554.541530000002</v>
      </c>
      <c r="BC24" s="125">
        <f>AI24*Valores!$C$81</f>
        <v>11650.648789999999</v>
      </c>
      <c r="BD24" s="125">
        <f>AI24*Valores!$C$83</f>
        <v>40777.270765000001</v>
      </c>
      <c r="BE24" s="125">
        <f>AI24*Valores!$C$85</f>
        <v>62913.503465999995</v>
      </c>
      <c r="BF24" s="125">
        <f>AI24*Valores!$C$84</f>
        <v>6990.3892740000001</v>
      </c>
      <c r="BG24" s="126"/>
      <c r="BH24" s="126">
        <v>45</v>
      </c>
      <c r="BI24" s="123" t="s">
        <v>8</v>
      </c>
    </row>
    <row r="25" spans="1:61" s="110" customFormat="1" ht="11.25" customHeight="1" x14ac:dyDescent="0.15">
      <c r="A25" s="123" t="s">
        <v>139</v>
      </c>
      <c r="B25" s="123">
        <v>1</v>
      </c>
      <c r="C25" s="126">
        <v>18</v>
      </c>
      <c r="D25" s="124" t="s">
        <v>140</v>
      </c>
      <c r="E25" s="192">
        <v>96</v>
      </c>
      <c r="F25" s="125">
        <f>ROUND(E25*Valores!$C$2,2)</f>
        <v>7449.28</v>
      </c>
      <c r="G25" s="192">
        <v>3737</v>
      </c>
      <c r="H25" s="125">
        <f>ROUND(G25*Valores!$C$2,2)</f>
        <v>289978.87</v>
      </c>
      <c r="I25" s="192">
        <v>1220</v>
      </c>
      <c r="J25" s="125">
        <f>ROUND(I25*Valores!$C$2,2)</f>
        <v>94667.97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117617.69</v>
      </c>
      <c r="N25" s="125">
        <f t="shared" si="1"/>
        <v>0</v>
      </c>
      <c r="O25" s="125">
        <f>Valores!$C$12</f>
        <v>176033.53</v>
      </c>
      <c r="P25" s="125">
        <f>Valores!$D$5</f>
        <v>39667.43</v>
      </c>
      <c r="Q25" s="125">
        <v>0</v>
      </c>
      <c r="R25" s="125">
        <f>IF($F$4="NO",Valores!$C$48,Valores!$C$48/2)</f>
        <v>41465.839999999997</v>
      </c>
      <c r="S25" s="125">
        <f>Valores!$C$19</f>
        <v>36908.81</v>
      </c>
      <c r="T25" s="125">
        <f t="shared" si="8"/>
        <v>36908.81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Valores!$C$98</f>
        <v>108631.74</v>
      </c>
      <c r="AA25" s="125">
        <f>Valores!$C$25</f>
        <v>1622.32</v>
      </c>
      <c r="AB25" s="214">
        <v>0</v>
      </c>
      <c r="AC25" s="125">
        <f t="shared" si="2"/>
        <v>0</v>
      </c>
      <c r="AD25" s="125">
        <f>Valores!$C$26</f>
        <v>1622.32</v>
      </c>
      <c r="AE25" s="192">
        <v>0</v>
      </c>
      <c r="AF25" s="125">
        <f>ROUND(AE25*Valores!$C$2,2)</f>
        <v>0</v>
      </c>
      <c r="AG25" s="125">
        <f>ROUND(IF($F$4="NO",Valores!$C$64,Valores!$C$64/2),2)</f>
        <v>18547.32</v>
      </c>
      <c r="AH25" s="125">
        <f>SUM(F25,H25,J25,L25,M25,N25,O25,P25,Q25,R25,T25,U25,V25,X25,Y25,Z25,AA25,AC25,AD25,AF25,AG25)*Valores!$C$104</f>
        <v>93421.311999999976</v>
      </c>
      <c r="AI25" s="125">
        <f t="shared" si="3"/>
        <v>1027634.4319999998</v>
      </c>
      <c r="AJ25" s="125">
        <f>Valores!$C$32</f>
        <v>70000</v>
      </c>
      <c r="AK25" s="125">
        <v>0</v>
      </c>
      <c r="AL25" s="125">
        <f>Valores!$C$91</f>
        <v>0</v>
      </c>
      <c r="AM25" s="125">
        <f>Valores!C$39*B25</f>
        <v>0</v>
      </c>
      <c r="AN25" s="125">
        <f>IF($F$3="NO",0,Valores!$C$56)</f>
        <v>0</v>
      </c>
      <c r="AO25" s="125">
        <f t="shared" si="4"/>
        <v>70000</v>
      </c>
      <c r="AP25" s="125">
        <f>AI25*Valores!$C$72</f>
        <v>-113039.78751999998</v>
      </c>
      <c r="AQ25" s="125">
        <f>IF(AI25&lt;Valores!$E$73,-0.02,IF(AI25&lt;Valores!$F$73,-0.03,-0.04))*AI25</f>
        <v>-41105.377279999993</v>
      </c>
      <c r="AR25" s="125">
        <f>AI25*Valores!$C$75</f>
        <v>-56519.893759999992</v>
      </c>
      <c r="AS25" s="125">
        <f>Valores!$C$102</f>
        <v>-1270.1600000000001</v>
      </c>
      <c r="AT25" s="125">
        <f>IF($F$5=0,Valores!$C$103,(Valores!$C$103+$F$5*(Valores!$C$103)))</f>
        <v>-3700</v>
      </c>
      <c r="AU25" s="125">
        <f t="shared" si="6"/>
        <v>881999.21343999985</v>
      </c>
      <c r="AV25" s="125">
        <f t="shared" si="0"/>
        <v>-113039.78751999998</v>
      </c>
      <c r="AW25" s="125">
        <f t="shared" si="7"/>
        <v>-41105.377279999993</v>
      </c>
      <c r="AX25" s="125">
        <f>AI25*Valores!$C$76</f>
        <v>-27746.129663999993</v>
      </c>
      <c r="AY25" s="125">
        <f>AI25*Valores!$C$77</f>
        <v>-3082.9032959999995</v>
      </c>
      <c r="AZ25" s="125">
        <f t="shared" si="5"/>
        <v>912660.23423999979</v>
      </c>
      <c r="BA25" s="125">
        <f>AI25*Valores!$C$79</f>
        <v>164421.50911999997</v>
      </c>
      <c r="BB25" s="125">
        <f>AI25*Valores!$C$80</f>
        <v>71934.410239999997</v>
      </c>
      <c r="BC25" s="125">
        <f>AI25*Valores!$C$81</f>
        <v>10276.344319999998</v>
      </c>
      <c r="BD25" s="125">
        <f>AI25*Valores!$C$83</f>
        <v>35967.205119999999</v>
      </c>
      <c r="BE25" s="125">
        <f>AI25*Valores!$C$85</f>
        <v>55492.259327999986</v>
      </c>
      <c r="BF25" s="125">
        <f>AI25*Valores!$C$84</f>
        <v>6165.806591999999</v>
      </c>
      <c r="BG25" s="126"/>
      <c r="BH25" s="126">
        <v>45</v>
      </c>
      <c r="BI25" s="123" t="s">
        <v>4</v>
      </c>
    </row>
    <row r="26" spans="1:61" s="110" customFormat="1" ht="11.25" customHeight="1" x14ac:dyDescent="0.15">
      <c r="A26" s="123" t="s">
        <v>141</v>
      </c>
      <c r="B26" s="123">
        <v>1</v>
      </c>
      <c r="C26" s="126">
        <v>19</v>
      </c>
      <c r="D26" s="124" t="s">
        <v>142</v>
      </c>
      <c r="E26" s="192">
        <v>96</v>
      </c>
      <c r="F26" s="125">
        <f>ROUND(E26*Valores!$C$2,2)</f>
        <v>7449.28</v>
      </c>
      <c r="G26" s="192">
        <v>3737</v>
      </c>
      <c r="H26" s="125">
        <f>ROUND(G26*Valores!$C$2,2)</f>
        <v>289978.87</v>
      </c>
      <c r="I26" s="192">
        <v>1220</v>
      </c>
      <c r="J26" s="125">
        <f>ROUND(I26*Valores!$C$2,2)</f>
        <v>94667.97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117617.69</v>
      </c>
      <c r="N26" s="125">
        <f t="shared" si="1"/>
        <v>0</v>
      </c>
      <c r="O26" s="125">
        <f>Valores!$C$12</f>
        <v>176033.53</v>
      </c>
      <c r="P26" s="125">
        <f>Valores!$D$5</f>
        <v>39667.43</v>
      </c>
      <c r="Q26" s="125">
        <v>0</v>
      </c>
      <c r="R26" s="125">
        <f>IF($F$4="NO",Valores!$C$48,Valores!$C$48/2)</f>
        <v>41465.839999999997</v>
      </c>
      <c r="S26" s="125">
        <f>Valores!$C$19</f>
        <v>36908.81</v>
      </c>
      <c r="T26" s="125">
        <f t="shared" si="8"/>
        <v>36908.81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Valores!$C$98</f>
        <v>108631.74</v>
      </c>
      <c r="AA26" s="125">
        <f>Valores!$C$25</f>
        <v>1622.32</v>
      </c>
      <c r="AB26" s="214">
        <v>0</v>
      </c>
      <c r="AC26" s="125">
        <f t="shared" si="2"/>
        <v>0</v>
      </c>
      <c r="AD26" s="125">
        <f>Valores!$C$26</f>
        <v>1622.32</v>
      </c>
      <c r="AE26" s="192">
        <v>0</v>
      </c>
      <c r="AF26" s="125">
        <f>ROUND(AE26*Valores!$C$2,2)</f>
        <v>0</v>
      </c>
      <c r="AG26" s="125">
        <f>ROUND(IF($F$4="NO",Valores!$C$64,Valores!$C$64/2),2)</f>
        <v>18547.32</v>
      </c>
      <c r="AH26" s="125">
        <f>SUM(F26,H26,J26,L26,M26,N26,O26,P26,Q26,R26,T26,U26,V26,X26,Y26,Z26,AA26,AC26,AD26,AF26,AG26)*Valores!$C$104</f>
        <v>93421.311999999976</v>
      </c>
      <c r="AI26" s="125">
        <f t="shared" si="3"/>
        <v>1027634.4319999998</v>
      </c>
      <c r="AJ26" s="125">
        <f>Valores!$C$32</f>
        <v>70000</v>
      </c>
      <c r="AK26" s="125">
        <v>0</v>
      </c>
      <c r="AL26" s="125">
        <f>Valores!$C$91</f>
        <v>0</v>
      </c>
      <c r="AM26" s="125">
        <f>Valores!C$39*B26</f>
        <v>0</v>
      </c>
      <c r="AN26" s="125">
        <f>IF($F$3="NO",0,Valores!$C$56)</f>
        <v>0</v>
      </c>
      <c r="AO26" s="125">
        <f t="shared" si="4"/>
        <v>70000</v>
      </c>
      <c r="AP26" s="125">
        <f>AI26*Valores!$C$72</f>
        <v>-113039.78751999998</v>
      </c>
      <c r="AQ26" s="125">
        <f>IF(AI26&lt;Valores!$E$73,-0.02,IF(AI26&lt;Valores!$F$73,-0.03,-0.04))*AI26</f>
        <v>-41105.377279999993</v>
      </c>
      <c r="AR26" s="125">
        <f>AI26*Valores!$C$75</f>
        <v>-56519.893759999992</v>
      </c>
      <c r="AS26" s="125">
        <f>Valores!$C$102</f>
        <v>-1270.1600000000001</v>
      </c>
      <c r="AT26" s="125">
        <f>IF($F$5=0,Valores!$C$103,(Valores!$C$103+$F$5*(Valores!$C$103)))</f>
        <v>-3700</v>
      </c>
      <c r="AU26" s="125">
        <f t="shared" si="6"/>
        <v>881999.21343999985</v>
      </c>
      <c r="AV26" s="125">
        <f t="shared" si="0"/>
        <v>-113039.78751999998</v>
      </c>
      <c r="AW26" s="125">
        <f t="shared" si="7"/>
        <v>-41105.377279999993</v>
      </c>
      <c r="AX26" s="125">
        <f>AI26*Valores!$C$76</f>
        <v>-27746.129663999993</v>
      </c>
      <c r="AY26" s="125">
        <f>AI26*Valores!$C$77</f>
        <v>-3082.9032959999995</v>
      </c>
      <c r="AZ26" s="125">
        <f t="shared" si="5"/>
        <v>912660.23423999979</v>
      </c>
      <c r="BA26" s="125">
        <f>AI26*Valores!$C$79</f>
        <v>164421.50911999997</v>
      </c>
      <c r="BB26" s="125">
        <f>AI26*Valores!$C$80</f>
        <v>71934.410239999997</v>
      </c>
      <c r="BC26" s="125">
        <f>AI26*Valores!$C$81</f>
        <v>10276.344319999998</v>
      </c>
      <c r="BD26" s="125">
        <f>AI26*Valores!$C$83</f>
        <v>35967.205119999999</v>
      </c>
      <c r="BE26" s="125">
        <f>AI26*Valores!$C$85</f>
        <v>55492.259327999986</v>
      </c>
      <c r="BF26" s="125">
        <f>AI26*Valores!$C$84</f>
        <v>6165.806591999999</v>
      </c>
      <c r="BG26" s="126"/>
      <c r="BH26" s="126">
        <v>45</v>
      </c>
      <c r="BI26" s="123" t="s">
        <v>4</v>
      </c>
    </row>
    <row r="27" spans="1:61" s="110" customFormat="1" ht="11.25" customHeight="1" x14ac:dyDescent="0.15">
      <c r="A27" s="123" t="s">
        <v>143</v>
      </c>
      <c r="B27" s="123">
        <v>1</v>
      </c>
      <c r="C27" s="126">
        <v>20</v>
      </c>
      <c r="D27" s="124" t="s">
        <v>144</v>
      </c>
      <c r="E27" s="192">
        <v>96</v>
      </c>
      <c r="F27" s="125">
        <f>ROUND(E27*Valores!$C$2,2)</f>
        <v>7449.28</v>
      </c>
      <c r="G27" s="192">
        <v>3737</v>
      </c>
      <c r="H27" s="125">
        <f>ROUND(G27*Valores!$C$2,2)</f>
        <v>289978.87</v>
      </c>
      <c r="I27" s="192">
        <v>1220</v>
      </c>
      <c r="J27" s="125">
        <f>ROUND(I27*Valores!$C$2,2)</f>
        <v>94667.97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117617.69</v>
      </c>
      <c r="N27" s="125">
        <f t="shared" si="1"/>
        <v>0</v>
      </c>
      <c r="O27" s="125">
        <f>Valores!$C$12</f>
        <v>176033.53</v>
      </c>
      <c r="P27" s="125">
        <f>Valores!$D$5</f>
        <v>39667.43</v>
      </c>
      <c r="Q27" s="125">
        <v>0</v>
      </c>
      <c r="R27" s="125">
        <f>IF($F$4="NO",Valores!$C$48,Valores!$C$48/2)</f>
        <v>41465.839999999997</v>
      </c>
      <c r="S27" s="125">
        <f>Valores!$C$19</f>
        <v>36908.81</v>
      </c>
      <c r="T27" s="125">
        <f t="shared" si="8"/>
        <v>36908.81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Valores!$C$98</f>
        <v>108631.74</v>
      </c>
      <c r="AA27" s="125">
        <f>Valores!$C$25</f>
        <v>1622.32</v>
      </c>
      <c r="AB27" s="214">
        <v>0</v>
      </c>
      <c r="AC27" s="125">
        <f t="shared" si="2"/>
        <v>0</v>
      </c>
      <c r="AD27" s="125">
        <f>Valores!$C$26</f>
        <v>1622.32</v>
      </c>
      <c r="AE27" s="192">
        <v>0</v>
      </c>
      <c r="AF27" s="125">
        <f>ROUND(AE27*Valores!$C$2,2)</f>
        <v>0</v>
      </c>
      <c r="AG27" s="125">
        <f>ROUND(IF($F$4="NO",Valores!$C$64,Valores!$C$64/2),2)</f>
        <v>18547.32</v>
      </c>
      <c r="AH27" s="125">
        <f>SUM(F27,H27,J27,L27,M27,N27,O27,P27,Q27,R27,T27,U27,V27,X27,Y27,Z27,AA27,AC27,AD27,AF27,AG27)*Valores!$C$104</f>
        <v>93421.311999999976</v>
      </c>
      <c r="AI27" s="125">
        <f t="shared" si="3"/>
        <v>1027634.4319999998</v>
      </c>
      <c r="AJ27" s="125">
        <f>Valores!$C$32</f>
        <v>70000</v>
      </c>
      <c r="AK27" s="125">
        <v>0</v>
      </c>
      <c r="AL27" s="125">
        <f>Valores!$C$91</f>
        <v>0</v>
      </c>
      <c r="AM27" s="125">
        <f>Valores!C$39*B27</f>
        <v>0</v>
      </c>
      <c r="AN27" s="125">
        <f>IF($F$3="NO",0,Valores!$C$56)</f>
        <v>0</v>
      </c>
      <c r="AO27" s="125">
        <f t="shared" si="4"/>
        <v>70000</v>
      </c>
      <c r="AP27" s="125">
        <f>AI27*Valores!$C$72</f>
        <v>-113039.78751999998</v>
      </c>
      <c r="AQ27" s="125">
        <f>IF(AI27&lt;Valores!$E$73,-0.02,IF(AI27&lt;Valores!$F$73,-0.03,-0.04))*AI27</f>
        <v>-41105.377279999993</v>
      </c>
      <c r="AR27" s="125">
        <f>AI27*Valores!$C$75</f>
        <v>-56519.893759999992</v>
      </c>
      <c r="AS27" s="125">
        <f>Valores!$C$102</f>
        <v>-1270.1600000000001</v>
      </c>
      <c r="AT27" s="125">
        <f>IF($F$5=0,Valores!$C$103,(Valores!$C$103+$F$5*(Valores!$C$103)))</f>
        <v>-3700</v>
      </c>
      <c r="AU27" s="125">
        <f t="shared" si="6"/>
        <v>881999.21343999985</v>
      </c>
      <c r="AV27" s="125">
        <f t="shared" si="0"/>
        <v>-113039.78751999998</v>
      </c>
      <c r="AW27" s="125">
        <f t="shared" si="7"/>
        <v>-41105.377279999993</v>
      </c>
      <c r="AX27" s="125">
        <f>AI27*Valores!$C$76</f>
        <v>-27746.129663999993</v>
      </c>
      <c r="AY27" s="125">
        <f>AI27*Valores!$C$77</f>
        <v>-3082.9032959999995</v>
      </c>
      <c r="AZ27" s="125">
        <f t="shared" si="5"/>
        <v>912660.23423999979</v>
      </c>
      <c r="BA27" s="125">
        <f>AI27*Valores!$C$79</f>
        <v>164421.50911999997</v>
      </c>
      <c r="BB27" s="125">
        <f>AI27*Valores!$C$80</f>
        <v>71934.410239999997</v>
      </c>
      <c r="BC27" s="125">
        <f>AI27*Valores!$C$81</f>
        <v>10276.344319999998</v>
      </c>
      <c r="BD27" s="125">
        <f>AI27*Valores!$C$83</f>
        <v>35967.205119999999</v>
      </c>
      <c r="BE27" s="125">
        <f>AI27*Valores!$C$85</f>
        <v>55492.259327999986</v>
      </c>
      <c r="BF27" s="125">
        <f>AI27*Valores!$C$84</f>
        <v>6165.806591999999</v>
      </c>
      <c r="BG27" s="126"/>
      <c r="BH27" s="126">
        <v>45</v>
      </c>
      <c r="BI27" s="123" t="s">
        <v>4</v>
      </c>
    </row>
    <row r="28" spans="1:61" s="110" customFormat="1" ht="11.25" customHeight="1" x14ac:dyDescent="0.15">
      <c r="A28" s="123" t="s">
        <v>145</v>
      </c>
      <c r="B28" s="123">
        <v>1</v>
      </c>
      <c r="C28" s="126">
        <v>21</v>
      </c>
      <c r="D28" s="124" t="s">
        <v>146</v>
      </c>
      <c r="E28" s="192">
        <v>107</v>
      </c>
      <c r="F28" s="125">
        <f>ROUND(E28*Valores!$C$2,2)</f>
        <v>8302.85</v>
      </c>
      <c r="G28" s="192">
        <v>3728</v>
      </c>
      <c r="H28" s="125">
        <f>ROUND(G28*Valores!$C$2,2)</f>
        <v>289280.5</v>
      </c>
      <c r="I28" s="192">
        <v>1218</v>
      </c>
      <c r="J28" s="125">
        <f>ROUND(I28*Valores!$C$2,2)</f>
        <v>94512.78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117617.7</v>
      </c>
      <c r="N28" s="125">
        <f t="shared" si="1"/>
        <v>0</v>
      </c>
      <c r="O28" s="125">
        <f>Valores!$C$12</f>
        <v>176033.53</v>
      </c>
      <c r="P28" s="125">
        <f>Valores!$D$5</f>
        <v>39667.43</v>
      </c>
      <c r="Q28" s="125">
        <v>0</v>
      </c>
      <c r="R28" s="125">
        <f>IF($F$4="NO",Valores!$C$48,Valores!$C$48/2)</f>
        <v>41465.839999999997</v>
      </c>
      <c r="S28" s="125">
        <f>Valores!$C$19</f>
        <v>36908.81</v>
      </c>
      <c r="T28" s="125">
        <f t="shared" si="8"/>
        <v>36908.81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Valores!$C$98</f>
        <v>108631.74</v>
      </c>
      <c r="AA28" s="125">
        <f>Valores!$C$25</f>
        <v>1622.32</v>
      </c>
      <c r="AB28" s="214">
        <v>0</v>
      </c>
      <c r="AC28" s="125">
        <f t="shared" si="2"/>
        <v>0</v>
      </c>
      <c r="AD28" s="125">
        <f>Valores!$C$26</f>
        <v>1622.32</v>
      </c>
      <c r="AE28" s="192">
        <v>0</v>
      </c>
      <c r="AF28" s="125">
        <f>ROUND(AE28*Valores!$C$2,2)</f>
        <v>0</v>
      </c>
      <c r="AG28" s="125">
        <f>ROUND(IF($F$4="NO",Valores!$C$64,Valores!$C$64/2),2)</f>
        <v>18547.32</v>
      </c>
      <c r="AH28" s="125">
        <f>SUM(F28,H28,J28,L28,M28,N28,O28,P28,Q28,R28,T28,U28,V28,X28,Y28,Z28,AA28,AC28,AD28,AF28,AG28)*Valores!$C$104</f>
        <v>93421.313999999984</v>
      </c>
      <c r="AI28" s="125">
        <f t="shared" si="3"/>
        <v>1027634.4539999998</v>
      </c>
      <c r="AJ28" s="125">
        <f>Valores!$C$32</f>
        <v>70000</v>
      </c>
      <c r="AK28" s="125">
        <v>0</v>
      </c>
      <c r="AL28" s="125">
        <f>Valores!$C$91</f>
        <v>0</v>
      </c>
      <c r="AM28" s="125">
        <f>Valores!C$39*B28</f>
        <v>0</v>
      </c>
      <c r="AN28" s="125">
        <f>IF($F$3="NO",0,Valores!$C$56)</f>
        <v>0</v>
      </c>
      <c r="AO28" s="125">
        <f t="shared" si="4"/>
        <v>70000</v>
      </c>
      <c r="AP28" s="125">
        <f>AI28*Valores!$C$72</f>
        <v>-113039.78993999997</v>
      </c>
      <c r="AQ28" s="125">
        <f>IF(AI28&lt;Valores!$E$73,-0.02,IF(AI28&lt;Valores!$F$73,-0.03,-0.04))*AI28</f>
        <v>-41105.378159999993</v>
      </c>
      <c r="AR28" s="125">
        <f>AI28*Valores!$C$75</f>
        <v>-56519.894969999987</v>
      </c>
      <c r="AS28" s="125">
        <f>Valores!$C$102</f>
        <v>-1270.1600000000001</v>
      </c>
      <c r="AT28" s="125">
        <f>IF($F$5=0,Valores!$C$103,(Valores!$C$103+$F$5*(Valores!$C$103)))</f>
        <v>-3700</v>
      </c>
      <c r="AU28" s="125">
        <f t="shared" si="6"/>
        <v>881999.23092999985</v>
      </c>
      <c r="AV28" s="125">
        <f t="shared" si="0"/>
        <v>-113039.78993999997</v>
      </c>
      <c r="AW28" s="125">
        <f t="shared" si="7"/>
        <v>-41105.378159999993</v>
      </c>
      <c r="AX28" s="125">
        <f>AI28*Valores!$C$76</f>
        <v>-27746.130257999994</v>
      </c>
      <c r="AY28" s="125">
        <f>AI28*Valores!$C$77</f>
        <v>-3082.9033619999996</v>
      </c>
      <c r="AZ28" s="125">
        <f t="shared" si="5"/>
        <v>912660.2522799999</v>
      </c>
      <c r="BA28" s="125">
        <f>AI28*Valores!$C$79</f>
        <v>164421.51263999997</v>
      </c>
      <c r="BB28" s="125">
        <f>AI28*Valores!$C$80</f>
        <v>71934.411779999995</v>
      </c>
      <c r="BC28" s="125">
        <f>AI28*Valores!$C$81</f>
        <v>10276.344539999998</v>
      </c>
      <c r="BD28" s="125">
        <f>AI28*Valores!$C$83</f>
        <v>35967.205889999997</v>
      </c>
      <c r="BE28" s="125">
        <f>AI28*Valores!$C$85</f>
        <v>55492.260515999988</v>
      </c>
      <c r="BF28" s="125">
        <f>AI28*Valores!$C$84</f>
        <v>6165.8067239999991</v>
      </c>
      <c r="BG28" s="126"/>
      <c r="BH28" s="126">
        <v>45</v>
      </c>
      <c r="BI28" s="123" t="s">
        <v>8</v>
      </c>
    </row>
    <row r="29" spans="1:61" s="110" customFormat="1" ht="11.25" customHeight="1" x14ac:dyDescent="0.15">
      <c r="A29" s="123" t="s">
        <v>147</v>
      </c>
      <c r="B29" s="123">
        <v>1</v>
      </c>
      <c r="C29" s="126">
        <v>22</v>
      </c>
      <c r="D29" s="124" t="s">
        <v>148</v>
      </c>
      <c r="E29" s="192">
        <v>94</v>
      </c>
      <c r="F29" s="125">
        <f>ROUND(E29*Valores!$C$2,2)</f>
        <v>7294.09</v>
      </c>
      <c r="G29" s="192">
        <v>3624</v>
      </c>
      <c r="H29" s="125">
        <f>ROUND(G29*Valores!$C$2,2)</f>
        <v>281210.44</v>
      </c>
      <c r="I29" s="192">
        <v>1219</v>
      </c>
      <c r="J29" s="125">
        <f>ROUND(I29*Valores!$C$2,2)</f>
        <v>94590.38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115367.39</v>
      </c>
      <c r="N29" s="125">
        <f t="shared" si="1"/>
        <v>0</v>
      </c>
      <c r="O29" s="125">
        <f>Valores!$C$12</f>
        <v>176033.53</v>
      </c>
      <c r="P29" s="125">
        <f>Valores!$D$5</f>
        <v>39667.43</v>
      </c>
      <c r="Q29" s="125">
        <v>0</v>
      </c>
      <c r="R29" s="125">
        <f>IF($F$4="NO",Valores!$C$48,Valores!$C$48/2)</f>
        <v>41465.839999999997</v>
      </c>
      <c r="S29" s="125">
        <f>Valores!$C$19</f>
        <v>36908.81</v>
      </c>
      <c r="T29" s="125">
        <f t="shared" si="8"/>
        <v>36908.81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Valores!$C$98</f>
        <v>108631.74</v>
      </c>
      <c r="AA29" s="125">
        <f>Valores!$C$25</f>
        <v>1622.32</v>
      </c>
      <c r="AB29" s="214">
        <v>0</v>
      </c>
      <c r="AC29" s="125">
        <f t="shared" si="2"/>
        <v>0</v>
      </c>
      <c r="AD29" s="125">
        <f>Valores!$C$26</f>
        <v>1622.32</v>
      </c>
      <c r="AE29" s="192">
        <v>0</v>
      </c>
      <c r="AF29" s="125">
        <f>ROUND(AE29*Valores!$C$2,2)</f>
        <v>0</v>
      </c>
      <c r="AG29" s="125">
        <f>ROUND(IF($F$4="NO",Valores!$C$64,Valores!$C$64/2),2)</f>
        <v>18547.32</v>
      </c>
      <c r="AH29" s="125">
        <f>SUM(F29,H29,J29,L29,M29,N29,O29,P29,Q29,R29,T29,U29,V29,X29,Y29,Z29,AA29,AC29,AD29,AF29,AG29)*Valores!$C$104</f>
        <v>92296.161000000007</v>
      </c>
      <c r="AI29" s="125">
        <f t="shared" si="3"/>
        <v>1015257.7709999999</v>
      </c>
      <c r="AJ29" s="125">
        <f>Valores!$C$32</f>
        <v>70000</v>
      </c>
      <c r="AK29" s="125">
        <v>0</v>
      </c>
      <c r="AL29" s="125">
        <f>Valores!$C$91</f>
        <v>0</v>
      </c>
      <c r="AM29" s="125">
        <f>Valores!C$39*B29</f>
        <v>0</v>
      </c>
      <c r="AN29" s="125">
        <f>IF($F$3="NO",0,Valores!$C$56)</f>
        <v>0</v>
      </c>
      <c r="AO29" s="125">
        <f t="shared" si="4"/>
        <v>70000</v>
      </c>
      <c r="AP29" s="125">
        <f>AI29*Valores!$C$72</f>
        <v>-111678.35480999999</v>
      </c>
      <c r="AQ29" s="125">
        <f>IF(AI29&lt;Valores!$E$73,-0.02,IF(AI29&lt;Valores!$F$73,-0.03,-0.04))*AI29</f>
        <v>-40610.310839999998</v>
      </c>
      <c r="AR29" s="125">
        <f>AI29*Valores!$C$75</f>
        <v>-55839.177404999995</v>
      </c>
      <c r="AS29" s="125">
        <f>Valores!$C$102</f>
        <v>-1270.1600000000001</v>
      </c>
      <c r="AT29" s="125">
        <f>IF($F$5=0,Valores!$C$103,(Valores!$C$103+$F$5*(Valores!$C$103)))</f>
        <v>-3700</v>
      </c>
      <c r="AU29" s="125">
        <f t="shared" si="6"/>
        <v>872159.76794499997</v>
      </c>
      <c r="AV29" s="125">
        <f t="shared" si="0"/>
        <v>-111678.35480999999</v>
      </c>
      <c r="AW29" s="125">
        <f t="shared" si="7"/>
        <v>-40610.310839999998</v>
      </c>
      <c r="AX29" s="125">
        <f>AI29*Valores!$C$76</f>
        <v>-27411.959816999999</v>
      </c>
      <c r="AY29" s="125">
        <f>AI29*Valores!$C$77</f>
        <v>-3045.7733129999997</v>
      </c>
      <c r="AZ29" s="125">
        <f t="shared" si="5"/>
        <v>902511.37222000002</v>
      </c>
      <c r="BA29" s="125">
        <f>AI29*Valores!$C$79</f>
        <v>162441.24335999999</v>
      </c>
      <c r="BB29" s="125">
        <f>AI29*Valores!$C$80</f>
        <v>71068.043969999999</v>
      </c>
      <c r="BC29" s="125">
        <f>AI29*Valores!$C$81</f>
        <v>10152.57771</v>
      </c>
      <c r="BD29" s="125">
        <f>AI29*Valores!$C$83</f>
        <v>35534.021984999999</v>
      </c>
      <c r="BE29" s="125">
        <f>AI29*Valores!$C$85</f>
        <v>54823.919633999998</v>
      </c>
      <c r="BF29" s="125">
        <f>AI29*Valores!$C$84</f>
        <v>6091.5466259999994</v>
      </c>
      <c r="BG29" s="126"/>
      <c r="BH29" s="126">
        <v>45</v>
      </c>
      <c r="BI29" s="123" t="s">
        <v>4</v>
      </c>
    </row>
    <row r="30" spans="1:61" s="110" customFormat="1" ht="11.25" customHeight="1" x14ac:dyDescent="0.15">
      <c r="A30" s="123" t="s">
        <v>149</v>
      </c>
      <c r="B30" s="123">
        <v>1</v>
      </c>
      <c r="C30" s="126">
        <v>23</v>
      </c>
      <c r="D30" s="124" t="s">
        <v>150</v>
      </c>
      <c r="E30" s="192">
        <v>93</v>
      </c>
      <c r="F30" s="125">
        <f>ROUND(E30*Valores!$C$2,2)</f>
        <v>7216.49</v>
      </c>
      <c r="G30" s="192">
        <v>3627</v>
      </c>
      <c r="H30" s="125">
        <f>ROUND(G30*Valores!$C$2,2)</f>
        <v>281443.23</v>
      </c>
      <c r="I30" s="192">
        <v>210</v>
      </c>
      <c r="J30" s="125">
        <f>ROUND(I30*Valores!$C$2,2)</f>
        <v>16295.31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95832.42</v>
      </c>
      <c r="N30" s="125">
        <f t="shared" si="1"/>
        <v>0</v>
      </c>
      <c r="O30" s="125">
        <f>Valores!$C$12</f>
        <v>176033.53</v>
      </c>
      <c r="P30" s="125">
        <f>Valores!$D$5</f>
        <v>39667.43</v>
      </c>
      <c r="Q30" s="125">
        <v>0</v>
      </c>
      <c r="R30" s="125">
        <f>IF($F$4="NO",Valores!$C$48,Valores!$C$48/2)</f>
        <v>41465.839999999997</v>
      </c>
      <c r="S30" s="125">
        <f>Valores!$C$19</f>
        <v>36908.81</v>
      </c>
      <c r="T30" s="125">
        <f t="shared" si="8"/>
        <v>36908.81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Valores!$C$98</f>
        <v>108631.74</v>
      </c>
      <c r="AA30" s="125">
        <f>Valores!$C$25</f>
        <v>1622.32</v>
      </c>
      <c r="AB30" s="214">
        <v>0</v>
      </c>
      <c r="AC30" s="125">
        <f t="shared" si="2"/>
        <v>0</v>
      </c>
      <c r="AD30" s="125">
        <f>Valores!$C$26</f>
        <v>1622.32</v>
      </c>
      <c r="AE30" s="192">
        <v>0</v>
      </c>
      <c r="AF30" s="125">
        <f>ROUND(AE30*Valores!$C$2,2)</f>
        <v>0</v>
      </c>
      <c r="AG30" s="125">
        <f>ROUND(IF($F$4="NO",Valores!$C$64,Valores!$C$64/2),2)</f>
        <v>18547.32</v>
      </c>
      <c r="AH30" s="125">
        <f>SUM(F30,H30,J30,L30,M30,N30,O30,P30,Q30,R30,T30,U30,V30,X30,Y30,Z30,AA30,AC30,AD30,AF30,AG30)*Valores!$C$104</f>
        <v>82528.675999999992</v>
      </c>
      <c r="AI30" s="125">
        <f t="shared" si="3"/>
        <v>907815.43599999987</v>
      </c>
      <c r="AJ30" s="125">
        <f>Valores!$C$32</f>
        <v>70000</v>
      </c>
      <c r="AK30" s="125">
        <v>0</v>
      </c>
      <c r="AL30" s="125">
        <f>Valores!$C$91</f>
        <v>0</v>
      </c>
      <c r="AM30" s="125">
        <f>Valores!C$39*B30</f>
        <v>0</v>
      </c>
      <c r="AN30" s="125">
        <f>IF($F$3="NO",0,Valores!$C$56)</f>
        <v>0</v>
      </c>
      <c r="AO30" s="125">
        <f t="shared" si="4"/>
        <v>70000</v>
      </c>
      <c r="AP30" s="125">
        <f>AI30*Valores!$C$72</f>
        <v>-99859.69795999999</v>
      </c>
      <c r="AQ30" s="125">
        <f>IF(AI30&lt;Valores!$E$73,-0.02,IF(AI30&lt;Valores!$F$73,-0.03,-0.04))*AI30</f>
        <v>-27234.463079999994</v>
      </c>
      <c r="AR30" s="125">
        <f>AI30*Valores!$C$75</f>
        <v>-49929.848979999995</v>
      </c>
      <c r="AS30" s="125">
        <f>Valores!$C$102</f>
        <v>-1270.1600000000001</v>
      </c>
      <c r="AT30" s="125">
        <f>IF($F$5=0,Valores!$C$103,(Valores!$C$103+$F$5*(Valores!$C$103)))</f>
        <v>-3700</v>
      </c>
      <c r="AU30" s="125">
        <f t="shared" si="6"/>
        <v>795821.26597999991</v>
      </c>
      <c r="AV30" s="125">
        <f t="shared" si="0"/>
        <v>-99859.69795999999</v>
      </c>
      <c r="AW30" s="125">
        <f t="shared" si="7"/>
        <v>-27234.463079999994</v>
      </c>
      <c r="AX30" s="125">
        <f>AI30*Valores!$C$76</f>
        <v>-24511.016771999995</v>
      </c>
      <c r="AY30" s="125">
        <f>AI30*Valores!$C$77</f>
        <v>-2723.4463079999996</v>
      </c>
      <c r="AZ30" s="125">
        <f t="shared" si="5"/>
        <v>823486.81187999994</v>
      </c>
      <c r="BA30" s="125">
        <f>AI30*Valores!$C$79</f>
        <v>145250.46975999998</v>
      </c>
      <c r="BB30" s="125">
        <f>AI30*Valores!$C$80</f>
        <v>63547.080519999996</v>
      </c>
      <c r="BC30" s="125">
        <f>AI30*Valores!$C$81</f>
        <v>9078.1543599999986</v>
      </c>
      <c r="BD30" s="125">
        <f>AI30*Valores!$C$83</f>
        <v>31773.540259999998</v>
      </c>
      <c r="BE30" s="125">
        <f>AI30*Valores!$C$85</f>
        <v>49022.033543999991</v>
      </c>
      <c r="BF30" s="125">
        <f>AI30*Valores!$C$84</f>
        <v>5446.8926159999992</v>
      </c>
      <c r="BG30" s="126"/>
      <c r="BH30" s="126">
        <v>45</v>
      </c>
      <c r="BI30" s="123" t="s">
        <v>8</v>
      </c>
    </row>
    <row r="31" spans="1:61" s="110" customFormat="1" ht="11.25" customHeight="1" x14ac:dyDescent="0.15">
      <c r="A31" s="123" t="s">
        <v>151</v>
      </c>
      <c r="B31" s="123">
        <v>1</v>
      </c>
      <c r="C31" s="126">
        <v>24</v>
      </c>
      <c r="D31" s="124" t="s">
        <v>152</v>
      </c>
      <c r="E31" s="192">
        <v>93</v>
      </c>
      <c r="F31" s="125">
        <f>ROUND(E31*Valores!$C$2,2)</f>
        <v>7216.49</v>
      </c>
      <c r="G31" s="192">
        <v>3630</v>
      </c>
      <c r="H31" s="125">
        <f>ROUND(G31*Valores!$C$2,2)</f>
        <v>281676.02</v>
      </c>
      <c r="I31" s="192">
        <v>1214</v>
      </c>
      <c r="J31" s="125">
        <f>ROUND(I31*Valores!$C$2,2)</f>
        <v>94202.39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115367.39</v>
      </c>
      <c r="N31" s="125">
        <f t="shared" si="1"/>
        <v>0</v>
      </c>
      <c r="O31" s="125">
        <f>Valores!$C$12</f>
        <v>176033.53</v>
      </c>
      <c r="P31" s="125">
        <f>Valores!$D$5</f>
        <v>39667.43</v>
      </c>
      <c r="Q31" s="125">
        <v>0</v>
      </c>
      <c r="R31" s="125">
        <f>IF($F$4="NO",Valores!$C$48,Valores!$C$48/2)</f>
        <v>41465.839999999997</v>
      </c>
      <c r="S31" s="125">
        <f>Valores!$C$19</f>
        <v>36908.81</v>
      </c>
      <c r="T31" s="125">
        <f t="shared" si="8"/>
        <v>36908.81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Valores!$C$98</f>
        <v>108631.74</v>
      </c>
      <c r="AA31" s="125">
        <f>Valores!$C$25</f>
        <v>1622.32</v>
      </c>
      <c r="AB31" s="214">
        <v>0</v>
      </c>
      <c r="AC31" s="125">
        <f t="shared" si="2"/>
        <v>0</v>
      </c>
      <c r="AD31" s="125">
        <f>Valores!$C$26</f>
        <v>1622.32</v>
      </c>
      <c r="AE31" s="192">
        <v>0</v>
      </c>
      <c r="AF31" s="125">
        <f>ROUND(AE31*Valores!$C$2,2)</f>
        <v>0</v>
      </c>
      <c r="AG31" s="125">
        <f>ROUND(IF($F$4="NO",Valores!$C$64,Valores!$C$64/2),2)</f>
        <v>18547.32</v>
      </c>
      <c r="AH31" s="125">
        <f>SUM(F31,H31,J31,L31,M31,N31,O31,P31,Q31,R31,T31,U31,V31,X31,Y31,Z31,AA31,AC31,AD31,AF31,AG31)*Valores!$C$104</f>
        <v>92296.16</v>
      </c>
      <c r="AI31" s="125">
        <f t="shared" si="3"/>
        <v>1015257.76</v>
      </c>
      <c r="AJ31" s="125">
        <f>Valores!$C$32</f>
        <v>70000</v>
      </c>
      <c r="AK31" s="125">
        <v>0</v>
      </c>
      <c r="AL31" s="125">
        <f>Valores!$C$91</f>
        <v>0</v>
      </c>
      <c r="AM31" s="125">
        <f>Valores!C$39*B31</f>
        <v>0</v>
      </c>
      <c r="AN31" s="125">
        <f>IF($F$3="NO",0,Valores!$C$56)</f>
        <v>0</v>
      </c>
      <c r="AO31" s="125">
        <f t="shared" si="4"/>
        <v>70000</v>
      </c>
      <c r="AP31" s="125">
        <f>AI31*Valores!$C$72</f>
        <v>-111678.3536</v>
      </c>
      <c r="AQ31" s="125">
        <f>IF(AI31&lt;Valores!$E$73,-0.02,IF(AI31&lt;Valores!$F$73,-0.03,-0.04))*AI31</f>
        <v>-40610.310400000002</v>
      </c>
      <c r="AR31" s="125">
        <f>AI31*Valores!$C$75</f>
        <v>-55839.176800000001</v>
      </c>
      <c r="AS31" s="125">
        <f>Valores!$C$102</f>
        <v>-1270.1600000000001</v>
      </c>
      <c r="AT31" s="125">
        <f>IF($F$5=0,Valores!$C$103,(Valores!$C$103+$F$5*(Valores!$C$103)))</f>
        <v>-3700</v>
      </c>
      <c r="AU31" s="125">
        <f t="shared" si="6"/>
        <v>872159.75919999997</v>
      </c>
      <c r="AV31" s="125">
        <f t="shared" si="0"/>
        <v>-111678.3536</v>
      </c>
      <c r="AW31" s="125">
        <f t="shared" si="7"/>
        <v>-40610.310400000002</v>
      </c>
      <c r="AX31" s="125">
        <f>AI31*Valores!$C$76</f>
        <v>-27411.95952</v>
      </c>
      <c r="AY31" s="125">
        <f>AI31*Valores!$C$77</f>
        <v>-3045.7732799999999</v>
      </c>
      <c r="AZ31" s="125">
        <f t="shared" si="5"/>
        <v>902511.36320000002</v>
      </c>
      <c r="BA31" s="125">
        <f>AI31*Valores!$C$79</f>
        <v>162441.24160000001</v>
      </c>
      <c r="BB31" s="125">
        <f>AI31*Valores!$C$80</f>
        <v>71068.043200000015</v>
      </c>
      <c r="BC31" s="125">
        <f>AI31*Valores!$C$81</f>
        <v>10152.577600000001</v>
      </c>
      <c r="BD31" s="125">
        <f>AI31*Valores!$C$83</f>
        <v>35534.021600000007</v>
      </c>
      <c r="BE31" s="125">
        <f>AI31*Valores!$C$85</f>
        <v>54823.919040000001</v>
      </c>
      <c r="BF31" s="125">
        <f>AI31*Valores!$C$84</f>
        <v>6091.5465599999998</v>
      </c>
      <c r="BG31" s="126"/>
      <c r="BH31" s="126">
        <v>45</v>
      </c>
      <c r="BI31" s="123" t="s">
        <v>4</v>
      </c>
    </row>
    <row r="32" spans="1:61" s="110" customFormat="1" ht="11.25" customHeight="1" x14ac:dyDescent="0.15">
      <c r="A32" s="123" t="s">
        <v>153</v>
      </c>
      <c r="B32" s="123">
        <v>1</v>
      </c>
      <c r="C32" s="126">
        <v>25</v>
      </c>
      <c r="D32" s="124" t="s">
        <v>154</v>
      </c>
      <c r="E32" s="192">
        <v>96</v>
      </c>
      <c r="F32" s="125">
        <f>ROUND(E32*Valores!$C$2,2)</f>
        <v>7449.28</v>
      </c>
      <c r="G32" s="192">
        <v>3737</v>
      </c>
      <c r="H32" s="125">
        <f>ROUND(G32*Valores!$C$2,2)</f>
        <v>289978.87</v>
      </c>
      <c r="I32" s="192">
        <v>1220</v>
      </c>
      <c r="J32" s="125">
        <f>ROUND(I32*Valores!$C$2,2)</f>
        <v>94667.97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117617.69</v>
      </c>
      <c r="N32" s="125">
        <f t="shared" si="1"/>
        <v>0</v>
      </c>
      <c r="O32" s="125">
        <f>Valores!$C$12</f>
        <v>176033.53</v>
      </c>
      <c r="P32" s="125">
        <f>Valores!$D$5</f>
        <v>39667.43</v>
      </c>
      <c r="Q32" s="125">
        <v>0</v>
      </c>
      <c r="R32" s="125">
        <f>IF($F$4="NO",Valores!$C$48,Valores!$C$48/2)</f>
        <v>41465.839999999997</v>
      </c>
      <c r="S32" s="125">
        <f>Valores!$C$19</f>
        <v>36908.81</v>
      </c>
      <c r="T32" s="125">
        <f t="shared" si="8"/>
        <v>36908.81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65034.29</v>
      </c>
      <c r="Z32" s="125">
        <f>Valores!$C$98</f>
        <v>108631.74</v>
      </c>
      <c r="AA32" s="125">
        <f>Valores!$C$25</f>
        <v>1622.32</v>
      </c>
      <c r="AB32" s="214">
        <v>0</v>
      </c>
      <c r="AC32" s="125">
        <f t="shared" si="2"/>
        <v>0</v>
      </c>
      <c r="AD32" s="125">
        <f>Valores!$C$26</f>
        <v>1622.32</v>
      </c>
      <c r="AE32" s="192">
        <v>0</v>
      </c>
      <c r="AF32" s="125">
        <f>ROUND(AE32*Valores!$C$2,2)</f>
        <v>0</v>
      </c>
      <c r="AG32" s="125">
        <f>ROUND(IF($F$4="NO",Valores!$C$64,Valores!$C$64/2),2)</f>
        <v>18547.32</v>
      </c>
      <c r="AH32" s="125">
        <f>SUM(F32,H32,J32,L32,M32,N32,O32,P32,Q32,R32,T32,U32,V32,X32,Y32,Z32,AA32,AC32,AD32,AF32,AG32)*Valores!$C$104</f>
        <v>99924.74099999998</v>
      </c>
      <c r="AI32" s="125">
        <f t="shared" si="3"/>
        <v>1099172.1509999998</v>
      </c>
      <c r="AJ32" s="125">
        <f>Valores!$C$32</f>
        <v>70000</v>
      </c>
      <c r="AK32" s="125">
        <v>0</v>
      </c>
      <c r="AL32" s="125">
        <f>Valores!$C$91</f>
        <v>0</v>
      </c>
      <c r="AM32" s="125">
        <f>Valores!C$39*B32</f>
        <v>0</v>
      </c>
      <c r="AN32" s="125">
        <f>IF($F$3="NO",0,Valores!$C$56)</f>
        <v>0</v>
      </c>
      <c r="AO32" s="125">
        <f t="shared" si="4"/>
        <v>70000</v>
      </c>
      <c r="AP32" s="125">
        <f>AI32*Valores!$C$72</f>
        <v>-120908.93660999999</v>
      </c>
      <c r="AQ32" s="125">
        <f>IF(AI32&lt;Valores!$E$73,-0.02,IF(AI32&lt;Valores!$F$73,-0.03,-0.04))*AI32</f>
        <v>-43966.886039999998</v>
      </c>
      <c r="AR32" s="125">
        <f>AI32*Valores!$C$75</f>
        <v>-60454.468304999995</v>
      </c>
      <c r="AS32" s="125">
        <f>Valores!$C$102</f>
        <v>-1270.1600000000001</v>
      </c>
      <c r="AT32" s="125">
        <f>IF($F$5=0,Valores!$C$103,(Valores!$C$103+$F$5*(Valores!$C$103)))</f>
        <v>-3700</v>
      </c>
      <c r="AU32" s="125">
        <f t="shared" si="6"/>
        <v>938871.70004499983</v>
      </c>
      <c r="AV32" s="125">
        <f t="shared" si="0"/>
        <v>-120908.93660999999</v>
      </c>
      <c r="AW32" s="125">
        <f t="shared" si="7"/>
        <v>-43966.886039999998</v>
      </c>
      <c r="AX32" s="125">
        <f>AI32*Valores!$C$76</f>
        <v>-29677.648076999994</v>
      </c>
      <c r="AY32" s="125">
        <f>AI32*Valores!$C$77</f>
        <v>-3297.5164529999997</v>
      </c>
      <c r="AZ32" s="125">
        <f t="shared" si="5"/>
        <v>971321.1638199999</v>
      </c>
      <c r="BA32" s="125">
        <f>AI32*Valores!$C$79</f>
        <v>175867.54415999999</v>
      </c>
      <c r="BB32" s="125">
        <f>AI32*Valores!$C$80</f>
        <v>76942.050569999992</v>
      </c>
      <c r="BC32" s="125">
        <f>AI32*Valores!$C$81</f>
        <v>10991.721509999999</v>
      </c>
      <c r="BD32" s="125">
        <f>AI32*Valores!$C$83</f>
        <v>38471.025284999996</v>
      </c>
      <c r="BE32" s="125">
        <f>AI32*Valores!$C$85</f>
        <v>59355.296153999989</v>
      </c>
      <c r="BF32" s="125">
        <f>AI32*Valores!$C$84</f>
        <v>6595.0329059999995</v>
      </c>
      <c r="BG32" s="126"/>
      <c r="BH32" s="126">
        <v>45</v>
      </c>
      <c r="BI32" s="123" t="s">
        <v>8</v>
      </c>
    </row>
    <row r="33" spans="1:61" s="110" customFormat="1" ht="11.25" customHeight="1" x14ac:dyDescent="0.15">
      <c r="A33" s="123" t="s">
        <v>155</v>
      </c>
      <c r="B33" s="123">
        <v>1</v>
      </c>
      <c r="C33" s="126">
        <v>26</v>
      </c>
      <c r="D33" s="124" t="s">
        <v>156</v>
      </c>
      <c r="E33" s="192">
        <v>92</v>
      </c>
      <c r="F33" s="125">
        <f>ROUND(E33*Valores!$C$2,2)</f>
        <v>7138.9</v>
      </c>
      <c r="G33" s="192">
        <v>3483</v>
      </c>
      <c r="H33" s="125">
        <f>ROUND(G33*Valores!$C$2,2)</f>
        <v>270269.31</v>
      </c>
      <c r="I33" s="192">
        <v>1217</v>
      </c>
      <c r="J33" s="125">
        <f>ROUND(I33*Valores!$C$2,2)</f>
        <v>94435.18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112554.51</v>
      </c>
      <c r="N33" s="125">
        <f t="shared" si="1"/>
        <v>0</v>
      </c>
      <c r="O33" s="125">
        <f>Valores!$C$12</f>
        <v>176033.53</v>
      </c>
      <c r="P33" s="125">
        <f>Valores!$D$5</f>
        <v>39667.43</v>
      </c>
      <c r="Q33" s="125">
        <v>0</v>
      </c>
      <c r="R33" s="125">
        <f>IF($F$4="NO",Valores!$C$48,Valores!$C$48/2)</f>
        <v>41465.839999999997</v>
      </c>
      <c r="S33" s="125">
        <f>Valores!$C$19</f>
        <v>36908.81</v>
      </c>
      <c r="T33" s="125">
        <f t="shared" si="8"/>
        <v>36908.81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Valores!$C$98</f>
        <v>108631.74</v>
      </c>
      <c r="AA33" s="125">
        <f>Valores!$C$25</f>
        <v>1622.32</v>
      </c>
      <c r="AB33" s="214">
        <v>0</v>
      </c>
      <c r="AC33" s="125">
        <f t="shared" si="2"/>
        <v>0</v>
      </c>
      <c r="AD33" s="125">
        <f>Valores!$C$26</f>
        <v>1622.32</v>
      </c>
      <c r="AE33" s="192">
        <v>0</v>
      </c>
      <c r="AF33" s="125">
        <f>ROUND(AE33*Valores!$C$2,2)</f>
        <v>0</v>
      </c>
      <c r="AG33" s="125">
        <f>ROUND(IF($F$4="NO",Valores!$C$64,Valores!$C$64/2),2)</f>
        <v>18547.32</v>
      </c>
      <c r="AH33" s="125">
        <f>SUM(F33,H33,J33,L33,M33,N33,O33,P33,Q33,R33,T33,U33,V33,X33,Y33,Z33,AA33,AC33,AD33,AF33,AG33)*Valores!$C$104</f>
        <v>90889.72099999999</v>
      </c>
      <c r="AI33" s="125">
        <f t="shared" si="3"/>
        <v>999786.93099999987</v>
      </c>
      <c r="AJ33" s="125">
        <f>Valores!$C$32</f>
        <v>70000</v>
      </c>
      <c r="AK33" s="125">
        <v>0</v>
      </c>
      <c r="AL33" s="125">
        <f>Valores!$C$91</f>
        <v>0</v>
      </c>
      <c r="AM33" s="125">
        <f>Valores!C$39*B33</f>
        <v>0</v>
      </c>
      <c r="AN33" s="125">
        <f>IF($F$3="NO",0,Valores!$C$56)</f>
        <v>0</v>
      </c>
      <c r="AO33" s="125">
        <f t="shared" si="4"/>
        <v>70000</v>
      </c>
      <c r="AP33" s="125">
        <f>AI33*Valores!$C$72</f>
        <v>-109976.56240999998</v>
      </c>
      <c r="AQ33" s="125">
        <f>IF(AI33&lt;Valores!$E$73,-0.02,IF(AI33&lt;Valores!$F$73,-0.03,-0.04))*AI33</f>
        <v>-29993.607929999995</v>
      </c>
      <c r="AR33" s="125">
        <f>AI33*Valores!$C$75</f>
        <v>-54988.281204999992</v>
      </c>
      <c r="AS33" s="125">
        <f>Valores!$C$102</f>
        <v>-1270.1600000000001</v>
      </c>
      <c r="AT33" s="125">
        <f>IF($F$5=0,Valores!$C$103,(Valores!$C$103+$F$5*(Valores!$C$103)))</f>
        <v>-3700</v>
      </c>
      <c r="AU33" s="125">
        <f t="shared" si="6"/>
        <v>869858.31945499987</v>
      </c>
      <c r="AV33" s="125">
        <f t="shared" si="0"/>
        <v>-109976.56240999998</v>
      </c>
      <c r="AW33" s="125">
        <f t="shared" si="7"/>
        <v>-29993.607929999995</v>
      </c>
      <c r="AX33" s="125">
        <f>AI33*Valores!$C$76</f>
        <v>-26994.247136999995</v>
      </c>
      <c r="AY33" s="125">
        <f>AI33*Valores!$C$77</f>
        <v>-2999.3607929999998</v>
      </c>
      <c r="AZ33" s="125">
        <f t="shared" si="5"/>
        <v>899823.15272999986</v>
      </c>
      <c r="BA33" s="125">
        <f>AI33*Valores!$C$79</f>
        <v>159965.90895999997</v>
      </c>
      <c r="BB33" s="125">
        <f>AI33*Valores!$C$80</f>
        <v>69985.085169999991</v>
      </c>
      <c r="BC33" s="125">
        <f>AI33*Valores!$C$81</f>
        <v>9997.8693099999982</v>
      </c>
      <c r="BD33" s="125">
        <f>AI33*Valores!$C$83</f>
        <v>34992.542584999996</v>
      </c>
      <c r="BE33" s="125">
        <f>AI33*Valores!$C$85</f>
        <v>53988.49427399999</v>
      </c>
      <c r="BF33" s="125">
        <f>AI33*Valores!$C$84</f>
        <v>5998.7215859999997</v>
      </c>
      <c r="BG33" s="126"/>
      <c r="BH33" s="126">
        <v>45</v>
      </c>
      <c r="BI33" s="123" t="s">
        <v>4</v>
      </c>
    </row>
    <row r="34" spans="1:61" s="110" customFormat="1" ht="11.25" customHeight="1" x14ac:dyDescent="0.15">
      <c r="A34" s="123" t="s">
        <v>157</v>
      </c>
      <c r="B34" s="123">
        <v>1</v>
      </c>
      <c r="C34" s="126">
        <v>27</v>
      </c>
      <c r="D34" s="124" t="s">
        <v>158</v>
      </c>
      <c r="E34" s="192">
        <v>85</v>
      </c>
      <c r="F34" s="125">
        <f>ROUND(E34*Valores!$C$2,2)</f>
        <v>6595.72</v>
      </c>
      <c r="G34" s="192">
        <v>3498</v>
      </c>
      <c r="H34" s="125">
        <f>ROUND(G34*Valores!$C$2,2)</f>
        <v>271433.26</v>
      </c>
      <c r="I34" s="192">
        <v>1209</v>
      </c>
      <c r="J34" s="125">
        <f>ROUND(I34*Valores!$C$2,2)</f>
        <v>93814.41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112554.51</v>
      </c>
      <c r="N34" s="125">
        <f t="shared" si="1"/>
        <v>0</v>
      </c>
      <c r="O34" s="125">
        <f>Valores!$C$12</f>
        <v>176033.53</v>
      </c>
      <c r="P34" s="125">
        <f>Valores!$D$5</f>
        <v>39667.43</v>
      </c>
      <c r="Q34" s="125">
        <v>0</v>
      </c>
      <c r="R34" s="125">
        <f>IF($F$4="NO",Valores!$C$48,Valores!$C$48/2)</f>
        <v>41465.839999999997</v>
      </c>
      <c r="S34" s="125">
        <f>Valores!$C$19</f>
        <v>36908.81</v>
      </c>
      <c r="T34" s="125">
        <f t="shared" si="8"/>
        <v>36908.81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Valores!$C$98</f>
        <v>108631.74</v>
      </c>
      <c r="AA34" s="125">
        <f>Valores!$C$25</f>
        <v>1622.32</v>
      </c>
      <c r="AB34" s="214">
        <v>0</v>
      </c>
      <c r="AC34" s="125">
        <f t="shared" si="2"/>
        <v>0</v>
      </c>
      <c r="AD34" s="125">
        <f>Valores!$C$26</f>
        <v>1622.32</v>
      </c>
      <c r="AE34" s="192">
        <v>0</v>
      </c>
      <c r="AF34" s="125">
        <f>ROUND(AE34*Valores!$C$2,2)</f>
        <v>0</v>
      </c>
      <c r="AG34" s="125">
        <f>ROUND(IF($F$4="NO",Valores!$C$64,Valores!$C$64/2),2)</f>
        <v>18547.32</v>
      </c>
      <c r="AH34" s="125">
        <f>SUM(F34,H34,J34,L34,M34,N34,O34,P34,Q34,R34,T34,U34,V34,X34,Y34,Z34,AA34,AC34,AD34,AF34,AG34)*Valores!$C$104</f>
        <v>90889.72099999999</v>
      </c>
      <c r="AI34" s="125">
        <f t="shared" si="3"/>
        <v>999786.93099999987</v>
      </c>
      <c r="AJ34" s="125">
        <f>Valores!$C$32</f>
        <v>70000</v>
      </c>
      <c r="AK34" s="125">
        <v>0</v>
      </c>
      <c r="AL34" s="125">
        <f>Valores!$C$91</f>
        <v>0</v>
      </c>
      <c r="AM34" s="125">
        <f>Valores!C$39*B34</f>
        <v>0</v>
      </c>
      <c r="AN34" s="125">
        <f>IF($F$3="NO",0,Valores!$C$56)</f>
        <v>0</v>
      </c>
      <c r="AO34" s="125">
        <f t="shared" si="4"/>
        <v>70000</v>
      </c>
      <c r="AP34" s="125">
        <f>AI34*Valores!$C$72</f>
        <v>-109976.56240999998</v>
      </c>
      <c r="AQ34" s="125">
        <f>IF(AI34&lt;Valores!$E$73,-0.02,IF(AI34&lt;Valores!$F$73,-0.03,-0.04))*AI34</f>
        <v>-29993.607929999995</v>
      </c>
      <c r="AR34" s="125">
        <f>AI34*Valores!$C$75</f>
        <v>-54988.281204999992</v>
      </c>
      <c r="AS34" s="125">
        <f>Valores!$C$102</f>
        <v>-1270.1600000000001</v>
      </c>
      <c r="AT34" s="125">
        <f>IF($F$5=0,Valores!$C$103,(Valores!$C$103+$F$5*(Valores!$C$103)))</f>
        <v>-3700</v>
      </c>
      <c r="AU34" s="125">
        <f t="shared" si="6"/>
        <v>869858.31945499987</v>
      </c>
      <c r="AV34" s="125">
        <f t="shared" si="0"/>
        <v>-109976.56240999998</v>
      </c>
      <c r="AW34" s="125">
        <f t="shared" si="7"/>
        <v>-29993.607929999995</v>
      </c>
      <c r="AX34" s="125">
        <f>AI34*Valores!$C$76</f>
        <v>-26994.247136999995</v>
      </c>
      <c r="AY34" s="125">
        <f>AI34*Valores!$C$77</f>
        <v>-2999.3607929999998</v>
      </c>
      <c r="AZ34" s="125">
        <f t="shared" si="5"/>
        <v>899823.15272999986</v>
      </c>
      <c r="BA34" s="125">
        <f>AI34*Valores!$C$79</f>
        <v>159965.90895999997</v>
      </c>
      <c r="BB34" s="125">
        <f>AI34*Valores!$C$80</f>
        <v>69985.085169999991</v>
      </c>
      <c r="BC34" s="125">
        <f>AI34*Valores!$C$81</f>
        <v>9997.8693099999982</v>
      </c>
      <c r="BD34" s="125">
        <f>AI34*Valores!$C$83</f>
        <v>34992.542584999996</v>
      </c>
      <c r="BE34" s="125">
        <f>AI34*Valores!$C$85</f>
        <v>53988.49427399999</v>
      </c>
      <c r="BF34" s="125">
        <f>AI34*Valores!$C$84</f>
        <v>5998.7215859999997</v>
      </c>
      <c r="BG34" s="126"/>
      <c r="BH34" s="126">
        <v>45</v>
      </c>
      <c r="BI34" s="123" t="s">
        <v>4</v>
      </c>
    </row>
    <row r="35" spans="1:61" s="110" customFormat="1" ht="11.25" customHeight="1" x14ac:dyDescent="0.15">
      <c r="A35" s="123" t="s">
        <v>159</v>
      </c>
      <c r="B35" s="123">
        <v>1</v>
      </c>
      <c r="C35" s="126">
        <v>28</v>
      </c>
      <c r="D35" s="124" t="s">
        <v>160</v>
      </c>
      <c r="E35" s="192">
        <v>92</v>
      </c>
      <c r="F35" s="125">
        <f>ROUND(E35*Valores!$C$2,2)</f>
        <v>7138.9</v>
      </c>
      <c r="G35" s="192">
        <v>3483</v>
      </c>
      <c r="H35" s="125">
        <f>ROUND(G35*Valores!$C$2,2)</f>
        <v>270269.31</v>
      </c>
      <c r="I35" s="192">
        <v>1217</v>
      </c>
      <c r="J35" s="125">
        <f>ROUND(I35*Valores!$C$2,2)</f>
        <v>94435.18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112554.51</v>
      </c>
      <c r="N35" s="125">
        <f t="shared" si="1"/>
        <v>0</v>
      </c>
      <c r="O35" s="125">
        <f>Valores!$C$12</f>
        <v>176033.53</v>
      </c>
      <c r="P35" s="125">
        <f>Valores!$D$5</f>
        <v>39667.43</v>
      </c>
      <c r="Q35" s="125">
        <v>0</v>
      </c>
      <c r="R35" s="125">
        <f>IF($F$4="NO",Valores!$C$48,Valores!$C$48/2)</f>
        <v>41465.839999999997</v>
      </c>
      <c r="S35" s="125">
        <f>Valores!$C$19</f>
        <v>36908.81</v>
      </c>
      <c r="T35" s="125">
        <f t="shared" si="8"/>
        <v>36908.81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Valores!$C$98</f>
        <v>108631.74</v>
      </c>
      <c r="AA35" s="125">
        <f>Valores!$C$25</f>
        <v>1622.32</v>
      </c>
      <c r="AB35" s="214">
        <v>0</v>
      </c>
      <c r="AC35" s="125">
        <f t="shared" si="2"/>
        <v>0</v>
      </c>
      <c r="AD35" s="125">
        <f>Valores!$C$26</f>
        <v>1622.32</v>
      </c>
      <c r="AE35" s="192">
        <v>0</v>
      </c>
      <c r="AF35" s="125">
        <f>ROUND(AE35*Valores!$C$2,2)</f>
        <v>0</v>
      </c>
      <c r="AG35" s="125">
        <f>ROUND(IF($F$4="NO",Valores!$C$64,Valores!$C$64/2),2)</f>
        <v>18547.32</v>
      </c>
      <c r="AH35" s="125">
        <f>SUM(F35,H35,J35,L35,M35,N35,O35,P35,Q35,R35,T35,U35,V35,X35,Y35,Z35,AA35,AC35,AD35,AF35,AG35)*Valores!$C$104</f>
        <v>90889.72099999999</v>
      </c>
      <c r="AI35" s="125">
        <f t="shared" si="3"/>
        <v>999786.93099999987</v>
      </c>
      <c r="AJ35" s="125">
        <f>Valores!$C$32</f>
        <v>70000</v>
      </c>
      <c r="AK35" s="125">
        <v>0</v>
      </c>
      <c r="AL35" s="125">
        <f>Valores!$C$91</f>
        <v>0</v>
      </c>
      <c r="AM35" s="125">
        <f>Valores!C$39*B35</f>
        <v>0</v>
      </c>
      <c r="AN35" s="125">
        <f>IF($F$3="NO",0,Valores!$C$56)</f>
        <v>0</v>
      </c>
      <c r="AO35" s="125">
        <f t="shared" si="4"/>
        <v>70000</v>
      </c>
      <c r="AP35" s="125">
        <f>AI35*Valores!$C$72</f>
        <v>-109976.56240999998</v>
      </c>
      <c r="AQ35" s="125">
        <f>IF(AI35&lt;Valores!$E$73,-0.02,IF(AI35&lt;Valores!$F$73,-0.03,-0.04))*AI35</f>
        <v>-29993.607929999995</v>
      </c>
      <c r="AR35" s="125">
        <f>AI35*Valores!$C$75</f>
        <v>-54988.281204999992</v>
      </c>
      <c r="AS35" s="125">
        <f>Valores!$C$102</f>
        <v>-1270.1600000000001</v>
      </c>
      <c r="AT35" s="125">
        <f>IF($F$5=0,Valores!$C$103,(Valores!$C$103+$F$5*(Valores!$C$103)))</f>
        <v>-3700</v>
      </c>
      <c r="AU35" s="125">
        <f t="shared" si="6"/>
        <v>869858.31945499987</v>
      </c>
      <c r="AV35" s="125">
        <f t="shared" si="0"/>
        <v>-109976.56240999998</v>
      </c>
      <c r="AW35" s="125">
        <f t="shared" si="7"/>
        <v>-29993.607929999995</v>
      </c>
      <c r="AX35" s="125">
        <f>AI35*Valores!$C$76</f>
        <v>-26994.247136999995</v>
      </c>
      <c r="AY35" s="125">
        <f>AI35*Valores!$C$77</f>
        <v>-2999.3607929999998</v>
      </c>
      <c r="AZ35" s="125">
        <f t="shared" si="5"/>
        <v>899823.15272999986</v>
      </c>
      <c r="BA35" s="125">
        <f>AI35*Valores!$C$79</f>
        <v>159965.90895999997</v>
      </c>
      <c r="BB35" s="125">
        <f>AI35*Valores!$C$80</f>
        <v>69985.085169999991</v>
      </c>
      <c r="BC35" s="125">
        <f>AI35*Valores!$C$81</f>
        <v>9997.8693099999982</v>
      </c>
      <c r="BD35" s="125">
        <f>AI35*Valores!$C$83</f>
        <v>34992.542584999996</v>
      </c>
      <c r="BE35" s="125">
        <f>AI35*Valores!$C$85</f>
        <v>53988.49427399999</v>
      </c>
      <c r="BF35" s="125">
        <f>AI35*Valores!$C$84</f>
        <v>5998.7215859999997</v>
      </c>
      <c r="BG35" s="126"/>
      <c r="BH35" s="126">
        <v>45</v>
      </c>
      <c r="BI35" s="123" t="s">
        <v>4</v>
      </c>
    </row>
    <row r="36" spans="1:61" s="110" customFormat="1" ht="11.25" customHeight="1" x14ac:dyDescent="0.15">
      <c r="A36" s="123" t="s">
        <v>161</v>
      </c>
      <c r="B36" s="123">
        <v>1</v>
      </c>
      <c r="C36" s="126">
        <v>29</v>
      </c>
      <c r="D36" s="124" t="s">
        <v>162</v>
      </c>
      <c r="E36" s="192">
        <v>85</v>
      </c>
      <c r="F36" s="125">
        <f>ROUND(E36*Valores!$C$2,2)</f>
        <v>6595.72</v>
      </c>
      <c r="G36" s="192">
        <v>3498</v>
      </c>
      <c r="H36" s="125">
        <f>ROUND(G36*Valores!$C$2,2)</f>
        <v>271433.26</v>
      </c>
      <c r="I36" s="192">
        <v>1209</v>
      </c>
      <c r="J36" s="125">
        <f>ROUND(I36*Valores!$C$2,2)</f>
        <v>93814.41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112554.51</v>
      </c>
      <c r="N36" s="125">
        <f t="shared" si="1"/>
        <v>0</v>
      </c>
      <c r="O36" s="125">
        <f>Valores!$C$12</f>
        <v>176033.53</v>
      </c>
      <c r="P36" s="125">
        <f>Valores!$D$5</f>
        <v>39667.43</v>
      </c>
      <c r="Q36" s="125">
        <v>0</v>
      </c>
      <c r="R36" s="125">
        <f>IF($F$4="NO",Valores!$C$48,Valores!$C$48/2)</f>
        <v>41465.839999999997</v>
      </c>
      <c r="S36" s="125">
        <f>Valores!$C$19</f>
        <v>36908.81</v>
      </c>
      <c r="T36" s="125">
        <f t="shared" si="8"/>
        <v>36908.81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Valores!$C$98</f>
        <v>108631.74</v>
      </c>
      <c r="AA36" s="125">
        <f>Valores!$C$25</f>
        <v>1622.32</v>
      </c>
      <c r="AB36" s="214">
        <v>0</v>
      </c>
      <c r="AC36" s="125">
        <f t="shared" si="2"/>
        <v>0</v>
      </c>
      <c r="AD36" s="125">
        <f>Valores!$C$26</f>
        <v>1622.32</v>
      </c>
      <c r="AE36" s="192">
        <v>0</v>
      </c>
      <c r="AF36" s="125">
        <f>ROUND(AE36*Valores!$C$2,2)</f>
        <v>0</v>
      </c>
      <c r="AG36" s="125">
        <f>ROUND(IF($F$4="NO",Valores!$C$64,Valores!$C$64/2),2)</f>
        <v>18547.32</v>
      </c>
      <c r="AH36" s="125">
        <f>SUM(F36,H36,J36,L36,M36,N36,O36,P36,Q36,R36,T36,U36,V36,X36,Y36,Z36,AA36,AC36,AD36,AF36,AG36)*Valores!$C$104</f>
        <v>90889.72099999999</v>
      </c>
      <c r="AI36" s="125">
        <f t="shared" si="3"/>
        <v>999786.93099999987</v>
      </c>
      <c r="AJ36" s="125">
        <f>Valores!$C$32</f>
        <v>70000</v>
      </c>
      <c r="AK36" s="125">
        <v>0</v>
      </c>
      <c r="AL36" s="125">
        <f>Valores!$C$91</f>
        <v>0</v>
      </c>
      <c r="AM36" s="125">
        <f>Valores!C$39*B36</f>
        <v>0</v>
      </c>
      <c r="AN36" s="125">
        <f>IF($F$3="NO",0,Valores!$C$56)</f>
        <v>0</v>
      </c>
      <c r="AO36" s="125">
        <f t="shared" si="4"/>
        <v>70000</v>
      </c>
      <c r="AP36" s="125">
        <f>AI36*Valores!$C$72</f>
        <v>-109976.56240999998</v>
      </c>
      <c r="AQ36" s="125">
        <f>IF(AI36&lt;Valores!$E$73,-0.02,IF(AI36&lt;Valores!$F$73,-0.03,-0.04))*AI36</f>
        <v>-29993.607929999995</v>
      </c>
      <c r="AR36" s="125">
        <f>AI36*Valores!$C$75</f>
        <v>-54988.281204999992</v>
      </c>
      <c r="AS36" s="125">
        <f>Valores!$C$102</f>
        <v>-1270.1600000000001</v>
      </c>
      <c r="AT36" s="125">
        <f>IF($F$5=0,Valores!$C$103,(Valores!$C$103+$F$5*(Valores!$C$103)))</f>
        <v>-3700</v>
      </c>
      <c r="AU36" s="125">
        <f t="shared" si="6"/>
        <v>869858.31945499987</v>
      </c>
      <c r="AV36" s="125">
        <f t="shared" si="0"/>
        <v>-109976.56240999998</v>
      </c>
      <c r="AW36" s="125">
        <f t="shared" si="7"/>
        <v>-29993.607929999995</v>
      </c>
      <c r="AX36" s="125">
        <f>AI36*Valores!$C$76</f>
        <v>-26994.247136999995</v>
      </c>
      <c r="AY36" s="125">
        <f>AI36*Valores!$C$77</f>
        <v>-2999.3607929999998</v>
      </c>
      <c r="AZ36" s="125">
        <f t="shared" si="5"/>
        <v>899823.15272999986</v>
      </c>
      <c r="BA36" s="125">
        <f>AI36*Valores!$C$79</f>
        <v>159965.90895999997</v>
      </c>
      <c r="BB36" s="125">
        <f>AI36*Valores!$C$80</f>
        <v>69985.085169999991</v>
      </c>
      <c r="BC36" s="125">
        <f>AI36*Valores!$C$81</f>
        <v>9997.8693099999982</v>
      </c>
      <c r="BD36" s="125">
        <f>AI36*Valores!$C$83</f>
        <v>34992.542584999996</v>
      </c>
      <c r="BE36" s="125">
        <f>AI36*Valores!$C$85</f>
        <v>53988.49427399999</v>
      </c>
      <c r="BF36" s="125">
        <f>AI36*Valores!$C$84</f>
        <v>5998.7215859999997</v>
      </c>
      <c r="BG36" s="126"/>
      <c r="BH36" s="126">
        <v>45</v>
      </c>
      <c r="BI36" s="123" t="s">
        <v>8</v>
      </c>
    </row>
    <row r="37" spans="1:61" s="110" customFormat="1" ht="11.25" customHeight="1" x14ac:dyDescent="0.15">
      <c r="A37" s="123" t="s">
        <v>163</v>
      </c>
      <c r="B37" s="123">
        <v>1</v>
      </c>
      <c r="C37" s="126">
        <v>30</v>
      </c>
      <c r="D37" s="124" t="s">
        <v>164</v>
      </c>
      <c r="E37" s="192">
        <v>92</v>
      </c>
      <c r="F37" s="125">
        <f>ROUND(E37*Valores!$C$2,2)</f>
        <v>7138.9</v>
      </c>
      <c r="G37" s="192">
        <v>3483</v>
      </c>
      <c r="H37" s="125">
        <f>ROUND(G37*Valores!$C$2,2)</f>
        <v>270269.31</v>
      </c>
      <c r="I37" s="192">
        <v>1217</v>
      </c>
      <c r="J37" s="125">
        <f>ROUND(I37*Valores!$C$2,2)</f>
        <v>94435.18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112554.51</v>
      </c>
      <c r="N37" s="125">
        <f t="shared" si="1"/>
        <v>0</v>
      </c>
      <c r="O37" s="125">
        <f>Valores!$C$12</f>
        <v>176033.53</v>
      </c>
      <c r="P37" s="125">
        <f>Valores!$D$5</f>
        <v>39667.43</v>
      </c>
      <c r="Q37" s="125">
        <v>0</v>
      </c>
      <c r="R37" s="125">
        <f>IF($F$4="NO",Valores!$C$48,Valores!$C$48/2)</f>
        <v>41465.839999999997</v>
      </c>
      <c r="S37" s="125">
        <f>Valores!$C$19</f>
        <v>36908.81</v>
      </c>
      <c r="T37" s="125">
        <f t="shared" si="8"/>
        <v>36908.81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61996.38</v>
      </c>
      <c r="Z37" s="125">
        <f>Valores!$C$98</f>
        <v>108631.74</v>
      </c>
      <c r="AA37" s="125">
        <f>Valores!$C$25</f>
        <v>1622.32</v>
      </c>
      <c r="AB37" s="214">
        <v>0</v>
      </c>
      <c r="AC37" s="125">
        <f t="shared" si="2"/>
        <v>0</v>
      </c>
      <c r="AD37" s="125">
        <f>Valores!$C$26</f>
        <v>1622.32</v>
      </c>
      <c r="AE37" s="192">
        <v>0</v>
      </c>
      <c r="AF37" s="125">
        <f>ROUND(AE37*Valores!$C$2,2)</f>
        <v>0</v>
      </c>
      <c r="AG37" s="125">
        <f>ROUND(IF($F$4="NO",Valores!$C$64,Valores!$C$64/2),2)</f>
        <v>18547.32</v>
      </c>
      <c r="AH37" s="125">
        <f>SUM(F37,H37,J37,L37,M37,N37,O37,P37,Q37,R37,T37,U37,V37,X37,Y37,Z37,AA37,AC37,AD37,AF37,AG37)*Valores!$C$104</f>
        <v>97089.358999999997</v>
      </c>
      <c r="AI37" s="125">
        <f t="shared" si="3"/>
        <v>1067982.9489999998</v>
      </c>
      <c r="AJ37" s="125">
        <f>Valores!$C$32</f>
        <v>70000</v>
      </c>
      <c r="AK37" s="125">
        <v>0</v>
      </c>
      <c r="AL37" s="125">
        <f>Valores!$C$91</f>
        <v>0</v>
      </c>
      <c r="AM37" s="125">
        <f>Valores!C$39*B37</f>
        <v>0</v>
      </c>
      <c r="AN37" s="125">
        <f>IF($F$3="NO",0,Valores!$C$56)</f>
        <v>0</v>
      </c>
      <c r="AO37" s="125">
        <f t="shared" si="4"/>
        <v>70000</v>
      </c>
      <c r="AP37" s="125">
        <f>AI37*Valores!$C$72</f>
        <v>-117478.12438999998</v>
      </c>
      <c r="AQ37" s="125">
        <f>IF(AI37&lt;Valores!$E$73,-0.02,IF(AI37&lt;Valores!$F$73,-0.03,-0.04))*AI37</f>
        <v>-42719.317959999993</v>
      </c>
      <c r="AR37" s="125">
        <f>AI37*Valores!$C$75</f>
        <v>-58739.062194999991</v>
      </c>
      <c r="AS37" s="125">
        <f>Valores!$C$102</f>
        <v>-1270.1600000000001</v>
      </c>
      <c r="AT37" s="125">
        <f>IF($F$5=0,Valores!$C$103,(Valores!$C$103+$F$5*(Valores!$C$103)))</f>
        <v>-3700</v>
      </c>
      <c r="AU37" s="125">
        <f t="shared" si="6"/>
        <v>914076.28445499984</v>
      </c>
      <c r="AV37" s="125">
        <f t="shared" si="0"/>
        <v>-117478.12438999998</v>
      </c>
      <c r="AW37" s="125">
        <f t="shared" si="7"/>
        <v>-42719.317959999993</v>
      </c>
      <c r="AX37" s="125">
        <f>AI37*Valores!$C$76</f>
        <v>-28835.539622999993</v>
      </c>
      <c r="AY37" s="125">
        <f>AI37*Valores!$C$77</f>
        <v>-3203.9488469999997</v>
      </c>
      <c r="AZ37" s="125">
        <f t="shared" si="5"/>
        <v>945746.0181799999</v>
      </c>
      <c r="BA37" s="125">
        <f>AI37*Valores!$C$79</f>
        <v>170877.27183999997</v>
      </c>
      <c r="BB37" s="125">
        <f>AI37*Valores!$C$80</f>
        <v>74758.806429999997</v>
      </c>
      <c r="BC37" s="125">
        <f>AI37*Valores!$C$81</f>
        <v>10679.829489999998</v>
      </c>
      <c r="BD37" s="125">
        <f>AI37*Valores!$C$83</f>
        <v>37379.403214999998</v>
      </c>
      <c r="BE37" s="125">
        <f>AI37*Valores!$C$85</f>
        <v>57671.079245999987</v>
      </c>
      <c r="BF37" s="125">
        <f>AI37*Valores!$C$84</f>
        <v>6407.8976939999993</v>
      </c>
      <c r="BG37" s="126"/>
      <c r="BH37" s="126">
        <v>45</v>
      </c>
      <c r="BI37" s="123" t="s">
        <v>8</v>
      </c>
    </row>
    <row r="38" spans="1:61" s="110" customFormat="1" ht="11.25" customHeight="1" x14ac:dyDescent="0.15">
      <c r="A38" s="123" t="s">
        <v>165</v>
      </c>
      <c r="B38" s="123">
        <v>1</v>
      </c>
      <c r="C38" s="126">
        <v>31</v>
      </c>
      <c r="D38" s="124" t="s">
        <v>166</v>
      </c>
      <c r="E38" s="192">
        <v>85</v>
      </c>
      <c r="F38" s="125">
        <f>ROUND(E38*Valores!$C$2,2)</f>
        <v>6595.72</v>
      </c>
      <c r="G38" s="192">
        <v>3498</v>
      </c>
      <c r="H38" s="125">
        <f>ROUND(G38*Valores!$C$2,2)</f>
        <v>271433.26</v>
      </c>
      <c r="I38" s="192">
        <v>202</v>
      </c>
      <c r="J38" s="125">
        <f>ROUND(I38*Valores!$C$2,2)</f>
        <v>15674.53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93019.54</v>
      </c>
      <c r="N38" s="125">
        <f t="shared" si="1"/>
        <v>0</v>
      </c>
      <c r="O38" s="125">
        <f>Valores!$C$12</f>
        <v>176033.53</v>
      </c>
      <c r="P38" s="125">
        <f>Valores!$D$5</f>
        <v>39667.43</v>
      </c>
      <c r="Q38" s="125">
        <v>0</v>
      </c>
      <c r="R38" s="125">
        <f>IF($F$4="NO",Valores!$C$48,Valores!$C$48/2)</f>
        <v>41465.839999999997</v>
      </c>
      <c r="S38" s="125">
        <f>Valores!$C$19</f>
        <v>36908.81</v>
      </c>
      <c r="T38" s="125">
        <f t="shared" si="8"/>
        <v>36908.81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Valores!$C$98</f>
        <v>108631.74</v>
      </c>
      <c r="AA38" s="125">
        <f>Valores!$C$25</f>
        <v>1622.32</v>
      </c>
      <c r="AB38" s="214">
        <v>0</v>
      </c>
      <c r="AC38" s="125">
        <f t="shared" si="2"/>
        <v>0</v>
      </c>
      <c r="AD38" s="125">
        <f>Valores!$C$26</f>
        <v>1622.32</v>
      </c>
      <c r="AE38" s="192">
        <v>0</v>
      </c>
      <c r="AF38" s="125">
        <f>ROUND(AE38*Valores!$C$2,2)</f>
        <v>0</v>
      </c>
      <c r="AG38" s="125">
        <f>ROUND(IF($F$4="NO",Valores!$C$64,Valores!$C$64/2),2)</f>
        <v>18547.32</v>
      </c>
      <c r="AH38" s="125">
        <f>SUM(F38,H38,J38,L38,M38,N38,O38,P38,Q38,R38,T38,U38,V38,X38,Y38,Z38,AA38,AC38,AD38,AF38,AG38)*Valores!$C$104</f>
        <v>81122.235999999975</v>
      </c>
      <c r="AI38" s="125">
        <f t="shared" si="3"/>
        <v>892344.59599999967</v>
      </c>
      <c r="AJ38" s="125">
        <f>Valores!$C$32</f>
        <v>70000</v>
      </c>
      <c r="AK38" s="125">
        <v>0</v>
      </c>
      <c r="AL38" s="125">
        <f>Valores!$C$91</f>
        <v>0</v>
      </c>
      <c r="AM38" s="125">
        <f>Valores!C$39*B38</f>
        <v>0</v>
      </c>
      <c r="AN38" s="125">
        <f>IF($F$3="NO",0,Valores!$C$56)</f>
        <v>0</v>
      </c>
      <c r="AO38" s="125">
        <f t="shared" si="4"/>
        <v>70000</v>
      </c>
      <c r="AP38" s="125">
        <f>AI38*Valores!$C$72</f>
        <v>-98157.90555999997</v>
      </c>
      <c r="AQ38" s="125">
        <f>IF(AI38&lt;Valores!$E$73,-0.02,IF(AI38&lt;Valores!$F$73,-0.03,-0.04))*AI38</f>
        <v>-26770.337879999988</v>
      </c>
      <c r="AR38" s="125">
        <f>AI38*Valores!$C$75</f>
        <v>-49078.952779999985</v>
      </c>
      <c r="AS38" s="125">
        <f>Valores!$C$102</f>
        <v>-1270.1600000000001</v>
      </c>
      <c r="AT38" s="125">
        <f>IF($F$5=0,Valores!$C$103,(Valores!$C$103+$F$5*(Valores!$C$103)))</f>
        <v>-3700</v>
      </c>
      <c r="AU38" s="125">
        <f t="shared" si="6"/>
        <v>783367.23977999971</v>
      </c>
      <c r="AV38" s="125">
        <f t="shared" si="0"/>
        <v>-98157.90555999997</v>
      </c>
      <c r="AW38" s="125">
        <f t="shared" si="7"/>
        <v>-26770.337879999988</v>
      </c>
      <c r="AX38" s="125">
        <f>AI38*Valores!$C$76</f>
        <v>-24093.304091999991</v>
      </c>
      <c r="AY38" s="125">
        <f>AI38*Valores!$C$77</f>
        <v>-2677.0337879999993</v>
      </c>
      <c r="AZ38" s="125">
        <f t="shared" si="5"/>
        <v>810646.01467999979</v>
      </c>
      <c r="BA38" s="125">
        <f>AI38*Valores!$C$79</f>
        <v>142775.13535999996</v>
      </c>
      <c r="BB38" s="125">
        <f>AI38*Valores!$C$80</f>
        <v>62464.121719999981</v>
      </c>
      <c r="BC38" s="125">
        <f>AI38*Valores!$C$81</f>
        <v>8923.4459599999973</v>
      </c>
      <c r="BD38" s="125">
        <f>AI38*Valores!$C$83</f>
        <v>31232.06085999999</v>
      </c>
      <c r="BE38" s="125">
        <f>AI38*Valores!$C$85</f>
        <v>48186.608183999982</v>
      </c>
      <c r="BF38" s="125">
        <f>AI38*Valores!$C$84</f>
        <v>5354.0675759999986</v>
      </c>
      <c r="BG38" s="126"/>
      <c r="BH38" s="126">
        <v>45</v>
      </c>
      <c r="BI38" s="123" t="s">
        <v>8</v>
      </c>
    </row>
    <row r="39" spans="1:61" s="110" customFormat="1" ht="11.25" customHeight="1" x14ac:dyDescent="0.15">
      <c r="A39" s="123" t="s">
        <v>167</v>
      </c>
      <c r="B39" s="123">
        <v>1</v>
      </c>
      <c r="C39" s="126">
        <v>32</v>
      </c>
      <c r="D39" s="124" t="s">
        <v>168</v>
      </c>
      <c r="E39" s="192">
        <v>85</v>
      </c>
      <c r="F39" s="125">
        <f>ROUND(E39*Valores!$C$2,2)</f>
        <v>6595.72</v>
      </c>
      <c r="G39" s="192">
        <v>3498</v>
      </c>
      <c r="H39" s="125">
        <f>ROUND(G39*Valores!$C$2,2)</f>
        <v>271433.26</v>
      </c>
      <c r="I39" s="192">
        <v>1209</v>
      </c>
      <c r="J39" s="125">
        <f>ROUND(I39*Valores!$C$2,2)</f>
        <v>93814.41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112554.51</v>
      </c>
      <c r="N39" s="125">
        <f t="shared" si="1"/>
        <v>0</v>
      </c>
      <c r="O39" s="125">
        <f>Valores!$C$12</f>
        <v>176033.53</v>
      </c>
      <c r="P39" s="125">
        <f>Valores!$D$5</f>
        <v>39667.43</v>
      </c>
      <c r="Q39" s="125">
        <v>0</v>
      </c>
      <c r="R39" s="125">
        <f>IF($F$4="NO",Valores!$C$48,Valores!$C$48/2)</f>
        <v>41465.839999999997</v>
      </c>
      <c r="S39" s="125">
        <f>Valores!$C$19</f>
        <v>36908.81</v>
      </c>
      <c r="T39" s="125">
        <f t="shared" si="8"/>
        <v>36908.81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Valores!$C$98</f>
        <v>108631.74</v>
      </c>
      <c r="AA39" s="125">
        <f>Valores!$C$25</f>
        <v>1622.32</v>
      </c>
      <c r="AB39" s="214">
        <v>0</v>
      </c>
      <c r="AC39" s="125">
        <f t="shared" si="2"/>
        <v>0</v>
      </c>
      <c r="AD39" s="125">
        <f>Valores!$C$26</f>
        <v>1622.32</v>
      </c>
      <c r="AE39" s="192">
        <v>0</v>
      </c>
      <c r="AF39" s="125">
        <f>ROUND(AE39*Valores!$C$2,2)</f>
        <v>0</v>
      </c>
      <c r="AG39" s="125">
        <f>ROUND(IF($F$4="NO",Valores!$C$64,Valores!$C$64/2),2)</f>
        <v>18547.32</v>
      </c>
      <c r="AH39" s="125">
        <f>SUM(F39,H39,J39,L39,M39,N39,O39,P39,Q39,R39,T39,U39,V39,X39,Y39,Z39,AA39,AC39,AD39,AF39,AG39)*Valores!$C$104</f>
        <v>90889.72099999999</v>
      </c>
      <c r="AI39" s="125">
        <f t="shared" si="3"/>
        <v>999786.93099999987</v>
      </c>
      <c r="AJ39" s="125">
        <f>Valores!$C$32</f>
        <v>70000</v>
      </c>
      <c r="AK39" s="125">
        <v>0</v>
      </c>
      <c r="AL39" s="125">
        <f>Valores!$C$91</f>
        <v>0</v>
      </c>
      <c r="AM39" s="125">
        <f>Valores!C$39*B39</f>
        <v>0</v>
      </c>
      <c r="AN39" s="125">
        <f>IF($F$3="NO",0,Valores!$C$56)</f>
        <v>0</v>
      </c>
      <c r="AO39" s="125">
        <f t="shared" si="4"/>
        <v>70000</v>
      </c>
      <c r="AP39" s="125">
        <f>AI39*Valores!$C$72</f>
        <v>-109976.56240999998</v>
      </c>
      <c r="AQ39" s="125">
        <f>IF(AI39&lt;Valores!$E$73,-0.02,IF(AI39&lt;Valores!$F$73,-0.03,-0.04))*AI39</f>
        <v>-29993.607929999995</v>
      </c>
      <c r="AR39" s="125">
        <f>AI39*Valores!$C$75</f>
        <v>-54988.281204999992</v>
      </c>
      <c r="AS39" s="125">
        <f>Valores!$C$102</f>
        <v>-1270.1600000000001</v>
      </c>
      <c r="AT39" s="125">
        <f>IF($F$5=0,Valores!$C$103,(Valores!$C$103+$F$5*(Valores!$C$103)))</f>
        <v>-3700</v>
      </c>
      <c r="AU39" s="125">
        <f t="shared" si="6"/>
        <v>869858.31945499987</v>
      </c>
      <c r="AV39" s="125">
        <f t="shared" si="0"/>
        <v>-109976.56240999998</v>
      </c>
      <c r="AW39" s="125">
        <f t="shared" si="7"/>
        <v>-29993.607929999995</v>
      </c>
      <c r="AX39" s="125">
        <f>AI39*Valores!$C$76</f>
        <v>-26994.247136999995</v>
      </c>
      <c r="AY39" s="125">
        <f>AI39*Valores!$C$77</f>
        <v>-2999.3607929999998</v>
      </c>
      <c r="AZ39" s="125">
        <f t="shared" si="5"/>
        <v>899823.15272999986</v>
      </c>
      <c r="BA39" s="125">
        <f>AI39*Valores!$C$79</f>
        <v>159965.90895999997</v>
      </c>
      <c r="BB39" s="125">
        <f>AI39*Valores!$C$80</f>
        <v>69985.085169999991</v>
      </c>
      <c r="BC39" s="125">
        <f>AI39*Valores!$C$81</f>
        <v>9997.8693099999982</v>
      </c>
      <c r="BD39" s="125">
        <f>AI39*Valores!$C$83</f>
        <v>34992.542584999996</v>
      </c>
      <c r="BE39" s="125">
        <f>AI39*Valores!$C$85</f>
        <v>53988.49427399999</v>
      </c>
      <c r="BF39" s="125">
        <f>AI39*Valores!$C$84</f>
        <v>5998.7215859999997</v>
      </c>
      <c r="BG39" s="126"/>
      <c r="BH39" s="126">
        <v>45</v>
      </c>
      <c r="BI39" s="123" t="s">
        <v>4</v>
      </c>
    </row>
    <row r="40" spans="1:61" s="110" customFormat="1" ht="11.25" customHeight="1" x14ac:dyDescent="0.15">
      <c r="A40" s="123" t="s">
        <v>169</v>
      </c>
      <c r="B40" s="123">
        <v>1</v>
      </c>
      <c r="C40" s="126">
        <v>33</v>
      </c>
      <c r="D40" s="124" t="s">
        <v>170</v>
      </c>
      <c r="E40" s="192">
        <v>85</v>
      </c>
      <c r="F40" s="125">
        <f>ROUND(E40*Valores!$C$2,2)</f>
        <v>6595.72</v>
      </c>
      <c r="G40" s="192">
        <v>3498</v>
      </c>
      <c r="H40" s="125">
        <f>ROUND(G40*Valores!$C$2,2)</f>
        <v>271433.26</v>
      </c>
      <c r="I40" s="192">
        <v>1209</v>
      </c>
      <c r="J40" s="125">
        <f>ROUND(I40*Valores!$C$2,2)</f>
        <v>93814.41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112554.51</v>
      </c>
      <c r="N40" s="125">
        <f t="shared" si="1"/>
        <v>0</v>
      </c>
      <c r="O40" s="125">
        <f>Valores!$C$12</f>
        <v>176033.53</v>
      </c>
      <c r="P40" s="125">
        <f>Valores!$D$5</f>
        <v>39667.43</v>
      </c>
      <c r="Q40" s="125">
        <v>0</v>
      </c>
      <c r="R40" s="125">
        <f>IF($F$4="NO",Valores!$C$48,Valores!$C$48/2)</f>
        <v>41465.839999999997</v>
      </c>
      <c r="S40" s="125">
        <f>Valores!$C$19</f>
        <v>36908.81</v>
      </c>
      <c r="T40" s="125">
        <f t="shared" si="8"/>
        <v>36908.81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Valores!$C$98</f>
        <v>108631.74</v>
      </c>
      <c r="AA40" s="125">
        <f>Valores!$C$25</f>
        <v>1622.32</v>
      </c>
      <c r="AB40" s="214">
        <v>0</v>
      </c>
      <c r="AC40" s="125">
        <f t="shared" si="2"/>
        <v>0</v>
      </c>
      <c r="AD40" s="125">
        <f>Valores!$C$26</f>
        <v>1622.32</v>
      </c>
      <c r="AE40" s="192">
        <v>0</v>
      </c>
      <c r="AF40" s="125">
        <f>ROUND(AE40*Valores!$C$2,2)</f>
        <v>0</v>
      </c>
      <c r="AG40" s="125">
        <f>ROUND(IF($F$4="NO",Valores!$C$64,Valores!$C$64/2),2)</f>
        <v>18547.32</v>
      </c>
      <c r="AH40" s="125">
        <f>SUM(F40,H40,J40,L40,M40,N40,O40,P40,Q40,R40,T40,U40,V40,X40,Y40,Z40,AA40,AC40,AD40,AF40,AG40)*Valores!$C$104</f>
        <v>90889.72099999999</v>
      </c>
      <c r="AI40" s="125">
        <f t="shared" si="3"/>
        <v>999786.93099999987</v>
      </c>
      <c r="AJ40" s="125">
        <f>Valores!$C$32</f>
        <v>70000</v>
      </c>
      <c r="AK40" s="125">
        <v>0</v>
      </c>
      <c r="AL40" s="125">
        <f>Valores!$C$91</f>
        <v>0</v>
      </c>
      <c r="AM40" s="125">
        <f>Valores!C$39*B40</f>
        <v>0</v>
      </c>
      <c r="AN40" s="125">
        <f>IF($F$3="NO",0,Valores!$C$56)</f>
        <v>0</v>
      </c>
      <c r="AO40" s="125">
        <f t="shared" si="4"/>
        <v>70000</v>
      </c>
      <c r="AP40" s="125">
        <f>AI40*Valores!$C$72</f>
        <v>-109976.56240999998</v>
      </c>
      <c r="AQ40" s="125">
        <f>IF(AI40&lt;Valores!$E$73,-0.02,IF(AI40&lt;Valores!$F$73,-0.03,-0.04))*AI40</f>
        <v>-29993.607929999995</v>
      </c>
      <c r="AR40" s="125">
        <f>AI40*Valores!$C$75</f>
        <v>-54988.281204999992</v>
      </c>
      <c r="AS40" s="125">
        <f>Valores!$C$102</f>
        <v>-1270.1600000000001</v>
      </c>
      <c r="AT40" s="125">
        <f>IF($F$5=0,Valores!$C$103,(Valores!$C$103+$F$5*(Valores!$C$103)))</f>
        <v>-3700</v>
      </c>
      <c r="AU40" s="125">
        <f t="shared" si="6"/>
        <v>869858.31945499987</v>
      </c>
      <c r="AV40" s="125">
        <f t="shared" si="0"/>
        <v>-109976.56240999998</v>
      </c>
      <c r="AW40" s="125">
        <f t="shared" si="7"/>
        <v>-29993.607929999995</v>
      </c>
      <c r="AX40" s="125">
        <f>AI40*Valores!$C$76</f>
        <v>-26994.247136999995</v>
      </c>
      <c r="AY40" s="125">
        <f>AI40*Valores!$C$77</f>
        <v>-2999.3607929999998</v>
      </c>
      <c r="AZ40" s="125">
        <f t="shared" si="5"/>
        <v>899823.15272999986</v>
      </c>
      <c r="BA40" s="125">
        <f>AI40*Valores!$C$79</f>
        <v>159965.90895999997</v>
      </c>
      <c r="BB40" s="125">
        <f>AI40*Valores!$C$80</f>
        <v>69985.085169999991</v>
      </c>
      <c r="BC40" s="125">
        <f>AI40*Valores!$C$81</f>
        <v>9997.8693099999982</v>
      </c>
      <c r="BD40" s="125">
        <f>AI40*Valores!$C$83</f>
        <v>34992.542584999996</v>
      </c>
      <c r="BE40" s="125">
        <f>AI40*Valores!$C$85</f>
        <v>53988.49427399999</v>
      </c>
      <c r="BF40" s="125">
        <f>AI40*Valores!$C$84</f>
        <v>5998.7215859999997</v>
      </c>
      <c r="BG40" s="126"/>
      <c r="BH40" s="126">
        <v>45</v>
      </c>
      <c r="BI40" s="123" t="s">
        <v>8</v>
      </c>
    </row>
    <row r="41" spans="1:61" s="110" customFormat="1" ht="11.25" customHeight="1" x14ac:dyDescent="0.15">
      <c r="A41" s="123" t="s">
        <v>171</v>
      </c>
      <c r="B41" s="123">
        <v>1</v>
      </c>
      <c r="C41" s="126">
        <v>34</v>
      </c>
      <c r="D41" s="124" t="s">
        <v>172</v>
      </c>
      <c r="E41" s="192">
        <v>101</v>
      </c>
      <c r="F41" s="125">
        <f>ROUND(E41*Valores!$C$2,2)</f>
        <v>7837.27</v>
      </c>
      <c r="G41" s="192">
        <v>2548</v>
      </c>
      <c r="H41" s="125">
        <f>ROUND(G41*Valores!$C$2,2)</f>
        <v>197716.39</v>
      </c>
      <c r="I41" s="192">
        <v>216</v>
      </c>
      <c r="J41" s="125">
        <f>ROUND(I41*Valores!$C$2,2)</f>
        <v>16760.89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73246.679999999993</v>
      </c>
      <c r="N41" s="125">
        <f t="shared" si="1"/>
        <v>0</v>
      </c>
      <c r="O41" s="125">
        <f>Valores!$C$9</f>
        <v>97503.47</v>
      </c>
      <c r="P41" s="125">
        <f>Valores!$D$5</f>
        <v>39667.43</v>
      </c>
      <c r="Q41" s="125">
        <v>0</v>
      </c>
      <c r="R41" s="125">
        <f>IF($F$4="NO",Valores!$C$47,Valores!$C$47/2)</f>
        <v>33763.35</v>
      </c>
      <c r="S41" s="125">
        <f>Valores!$C$19</f>
        <v>36908.81</v>
      </c>
      <c r="T41" s="125">
        <f t="shared" si="8"/>
        <v>36908.81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Valores!$C$96</f>
        <v>54315.88</v>
      </c>
      <c r="AA41" s="125">
        <f>Valores!$C$25</f>
        <v>1622.32</v>
      </c>
      <c r="AB41" s="214">
        <v>0</v>
      </c>
      <c r="AC41" s="125">
        <f t="shared" si="2"/>
        <v>0</v>
      </c>
      <c r="AD41" s="125">
        <f>Valores!$C$26</f>
        <v>1622.32</v>
      </c>
      <c r="AE41" s="192">
        <v>0</v>
      </c>
      <c r="AF41" s="125">
        <f>ROUND(AE41*Valores!$C$2,2)</f>
        <v>0</v>
      </c>
      <c r="AG41" s="125">
        <f>ROUND(IF($F$4="NO",Valores!$C$64,Valores!$C$64/2),2)</f>
        <v>18547.32</v>
      </c>
      <c r="AH41" s="125">
        <f>SUM(F41,H41,J41,L41,M41,N41,O41,P41,Q41,R41,T41,U41,V41,X41,Y41,Z41,AA41,AC41,AD41,AF41,AG41)*Valores!$C$104</f>
        <v>57951.212999999982</v>
      </c>
      <c r="AI41" s="125">
        <f t="shared" si="3"/>
        <v>637463.34299999976</v>
      </c>
      <c r="AJ41" s="125">
        <f>Valores!$C$32</f>
        <v>70000</v>
      </c>
      <c r="AK41" s="125">
        <v>0</v>
      </c>
      <c r="AL41" s="125">
        <f>Valores!$C$89</f>
        <v>0</v>
      </c>
      <c r="AM41" s="125">
        <f>Valores!C$39*B41</f>
        <v>0</v>
      </c>
      <c r="AN41" s="125">
        <f>IF($F$3="NO",0,Valores!$C$56)</f>
        <v>0</v>
      </c>
      <c r="AO41" s="125">
        <f t="shared" si="4"/>
        <v>70000</v>
      </c>
      <c r="AP41" s="125">
        <f>AI41*Valores!$C$72</f>
        <v>-70120.967729999975</v>
      </c>
      <c r="AQ41" s="125">
        <f>IF(AI41&lt;Valores!$E$73,-0.02,IF(AI41&lt;Valores!$F$73,-0.03,-0.04))*AI41</f>
        <v>-12749.266859999996</v>
      </c>
      <c r="AR41" s="125">
        <f>AI41*Valores!$C$75</f>
        <v>-35060.483864999987</v>
      </c>
      <c r="AS41" s="125">
        <f>Valores!$C$102</f>
        <v>-1270.1600000000001</v>
      </c>
      <c r="AT41" s="125">
        <f>IF($F$5=0,Valores!$C$103,(Valores!$C$103+$F$5*(Valores!$C$103)))</f>
        <v>-3700</v>
      </c>
      <c r="AU41" s="125">
        <f t="shared" si="6"/>
        <v>584562.46454499976</v>
      </c>
      <c r="AV41" s="125">
        <f t="shared" si="0"/>
        <v>-70120.967729999975</v>
      </c>
      <c r="AW41" s="125">
        <f t="shared" si="7"/>
        <v>-12749.266859999996</v>
      </c>
      <c r="AX41" s="125">
        <f>AI41*Valores!$C$76</f>
        <v>-17211.510260999992</v>
      </c>
      <c r="AY41" s="125">
        <f>AI41*Valores!$C$77</f>
        <v>-1912.3900289999992</v>
      </c>
      <c r="AZ41" s="125">
        <f t="shared" si="5"/>
        <v>605469.20811999985</v>
      </c>
      <c r="BA41" s="125">
        <f>AI41*Valores!$C$79</f>
        <v>101994.13487999997</v>
      </c>
      <c r="BB41" s="125">
        <f>AI41*Valores!$C$80</f>
        <v>44622.43400999999</v>
      </c>
      <c r="BC41" s="125">
        <f>AI41*Valores!$C$81</f>
        <v>6374.633429999998</v>
      </c>
      <c r="BD41" s="125">
        <f>AI41*Valores!$C$83</f>
        <v>22311.217004999995</v>
      </c>
      <c r="BE41" s="125">
        <f>AI41*Valores!$C$85</f>
        <v>34423.020521999984</v>
      </c>
      <c r="BF41" s="125">
        <f>AI41*Valores!$C$84</f>
        <v>3824.7800579999985</v>
      </c>
      <c r="BG41" s="126"/>
      <c r="BH41" s="126">
        <v>45</v>
      </c>
      <c r="BI41" s="123" t="s">
        <v>8</v>
      </c>
    </row>
    <row r="42" spans="1:61" s="110" customFormat="1" ht="11.25" customHeight="1" x14ac:dyDescent="0.15">
      <c r="A42" s="123" t="s">
        <v>173</v>
      </c>
      <c r="B42" s="123">
        <v>1</v>
      </c>
      <c r="C42" s="126">
        <v>35</v>
      </c>
      <c r="D42" s="124" t="s">
        <v>172</v>
      </c>
      <c r="E42" s="192">
        <v>101</v>
      </c>
      <c r="F42" s="125">
        <f>ROUND(E42*Valores!$C$2,2)</f>
        <v>7837.27</v>
      </c>
      <c r="G42" s="192">
        <v>2548</v>
      </c>
      <c r="H42" s="125">
        <f>ROUND(G42*Valores!$C$2,2)</f>
        <v>197716.39</v>
      </c>
      <c r="I42" s="192">
        <v>216</v>
      </c>
      <c r="J42" s="125">
        <f>ROUND(I42*Valores!$C$2,2)</f>
        <v>16760.89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73246.679999999993</v>
      </c>
      <c r="N42" s="125">
        <f t="shared" si="1"/>
        <v>0</v>
      </c>
      <c r="O42" s="125">
        <f>Valores!$C$9</f>
        <v>97503.47</v>
      </c>
      <c r="P42" s="125">
        <f>Valores!$D$5</f>
        <v>39667.43</v>
      </c>
      <c r="Q42" s="125">
        <v>0</v>
      </c>
      <c r="R42" s="125">
        <f>IF($F$4="NO",Valores!$C$47,Valores!$C$47/2)</f>
        <v>33763.35</v>
      </c>
      <c r="S42" s="125">
        <f>Valores!$C$19</f>
        <v>36908.81</v>
      </c>
      <c r="T42" s="125">
        <f t="shared" si="8"/>
        <v>36908.81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Valores!$C$96</f>
        <v>54315.88</v>
      </c>
      <c r="AA42" s="125">
        <f>Valores!$C$25</f>
        <v>1622.32</v>
      </c>
      <c r="AB42" s="214">
        <v>0</v>
      </c>
      <c r="AC42" s="125">
        <f t="shared" si="2"/>
        <v>0</v>
      </c>
      <c r="AD42" s="125">
        <f>Valores!$C$26</f>
        <v>1622.32</v>
      </c>
      <c r="AE42" s="192">
        <v>0</v>
      </c>
      <c r="AF42" s="125">
        <f>ROUND(AE42*Valores!$C$2,2)</f>
        <v>0</v>
      </c>
      <c r="AG42" s="125">
        <f>ROUND(IF($F$4="NO",Valores!$C$64,Valores!$C$64/2),2)</f>
        <v>18547.32</v>
      </c>
      <c r="AH42" s="125">
        <f>SUM(F42,H42,J42,L42,M42,N42,O42,P42,Q42,R42,T42,U42,V42,X42,Y42,Z42,AA42,AC42,AD42,AF42,AG42)*Valores!$C$104</f>
        <v>57951.212999999982</v>
      </c>
      <c r="AI42" s="125">
        <f t="shared" si="3"/>
        <v>637463.34299999976</v>
      </c>
      <c r="AJ42" s="125">
        <f>Valores!$C$32</f>
        <v>70000</v>
      </c>
      <c r="AK42" s="125">
        <v>0</v>
      </c>
      <c r="AL42" s="125">
        <f>Valores!$C$89</f>
        <v>0</v>
      </c>
      <c r="AM42" s="125">
        <f>Valores!C$39*B42</f>
        <v>0</v>
      </c>
      <c r="AN42" s="125">
        <f>IF($F$3="NO",0,Valores!$C$56)</f>
        <v>0</v>
      </c>
      <c r="AO42" s="125">
        <f t="shared" si="4"/>
        <v>70000</v>
      </c>
      <c r="AP42" s="125">
        <f>AI42*Valores!$C$72</f>
        <v>-70120.967729999975</v>
      </c>
      <c r="AQ42" s="125">
        <f>IF(AI42&lt;Valores!$E$73,-0.02,IF(AI42&lt;Valores!$F$73,-0.03,-0.04))*AI42</f>
        <v>-12749.266859999996</v>
      </c>
      <c r="AR42" s="125">
        <f>AI42*Valores!$C$75</f>
        <v>-35060.483864999987</v>
      </c>
      <c r="AS42" s="125">
        <f>Valores!$C$102</f>
        <v>-1270.1600000000001</v>
      </c>
      <c r="AT42" s="125">
        <f>IF($F$5=0,Valores!$C$103,(Valores!$C$103+$F$5*(Valores!$C$103)))</f>
        <v>-3700</v>
      </c>
      <c r="AU42" s="125">
        <f t="shared" si="6"/>
        <v>584562.46454499976</v>
      </c>
      <c r="AV42" s="125">
        <f t="shared" si="0"/>
        <v>-70120.967729999975</v>
      </c>
      <c r="AW42" s="125">
        <f t="shared" si="7"/>
        <v>-12749.266859999996</v>
      </c>
      <c r="AX42" s="125">
        <f>AI42*Valores!$C$76</f>
        <v>-17211.510260999992</v>
      </c>
      <c r="AY42" s="125">
        <f>AI42*Valores!$C$77</f>
        <v>-1912.3900289999992</v>
      </c>
      <c r="AZ42" s="125">
        <f t="shared" si="5"/>
        <v>605469.20811999985</v>
      </c>
      <c r="BA42" s="125">
        <f>AI42*Valores!$C$79</f>
        <v>101994.13487999997</v>
      </c>
      <c r="BB42" s="125">
        <f>AI42*Valores!$C$80</f>
        <v>44622.43400999999</v>
      </c>
      <c r="BC42" s="125">
        <f>AI42*Valores!$C$81</f>
        <v>6374.633429999998</v>
      </c>
      <c r="BD42" s="125">
        <f>AI42*Valores!$C$83</f>
        <v>22311.217004999995</v>
      </c>
      <c r="BE42" s="125">
        <f>AI42*Valores!$C$85</f>
        <v>34423.020521999984</v>
      </c>
      <c r="BF42" s="125">
        <f>AI42*Valores!$C$84</f>
        <v>3824.7800579999985</v>
      </c>
      <c r="BG42" s="126"/>
      <c r="BH42" s="126">
        <v>45</v>
      </c>
      <c r="BI42" s="123" t="s">
        <v>8</v>
      </c>
    </row>
    <row r="43" spans="1:61" s="110" customFormat="1" ht="11.25" customHeight="1" x14ac:dyDescent="0.15">
      <c r="A43" s="123" t="s">
        <v>174</v>
      </c>
      <c r="B43" s="123">
        <v>1</v>
      </c>
      <c r="C43" s="126">
        <v>36</v>
      </c>
      <c r="D43" s="124" t="s">
        <v>175</v>
      </c>
      <c r="E43" s="192">
        <v>96</v>
      </c>
      <c r="F43" s="125">
        <f>ROUND(E43*Valores!$C$2,2)</f>
        <v>7449.28</v>
      </c>
      <c r="G43" s="192">
        <v>2475</v>
      </c>
      <c r="H43" s="125">
        <f>ROUND(G43*Valores!$C$2,2)</f>
        <v>192051.83</v>
      </c>
      <c r="I43" s="192">
        <v>213</v>
      </c>
      <c r="J43" s="125">
        <f>ROUND(I43*Valores!$C$2,2)</f>
        <v>16528.099999999999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70123.210000000006</v>
      </c>
      <c r="N43" s="125">
        <f t="shared" si="1"/>
        <v>0</v>
      </c>
      <c r="O43" s="125">
        <f>Valores!$C$9</f>
        <v>97503.47</v>
      </c>
      <c r="P43" s="125">
        <f>Valores!$D$5</f>
        <v>39667.43</v>
      </c>
      <c r="Q43" s="125">
        <v>0</v>
      </c>
      <c r="R43" s="125">
        <f>IF($F$4="NO",Valores!$C$45,Valores!$C$45/2)</f>
        <v>27554.83</v>
      </c>
      <c r="S43" s="125">
        <f>Valores!$C$19</f>
        <v>36908.81</v>
      </c>
      <c r="T43" s="125">
        <f t="shared" si="8"/>
        <v>36908.81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Valores!$C$96</f>
        <v>54315.88</v>
      </c>
      <c r="AA43" s="125">
        <f>Valores!$C$25</f>
        <v>1622.32</v>
      </c>
      <c r="AB43" s="214">
        <v>0</v>
      </c>
      <c r="AC43" s="125">
        <f t="shared" si="2"/>
        <v>0</v>
      </c>
      <c r="AD43" s="125">
        <f>Valores!$C$26</f>
        <v>1622.32</v>
      </c>
      <c r="AE43" s="192">
        <v>0</v>
      </c>
      <c r="AF43" s="125">
        <f>ROUND(AE43*Valores!$C$2,2)</f>
        <v>0</v>
      </c>
      <c r="AG43" s="125">
        <f>ROUND(IF($F$4="NO",Valores!$C$64,Valores!$C$64/2),2)</f>
        <v>18547.32</v>
      </c>
      <c r="AH43" s="125">
        <f>SUM(F43,H43,J43,L43,M43,N43,O43,P43,Q43,R43,T43,U43,V43,X43,Y43,Z43,AA43,AC43,AD43,AF43,AG43)*Valores!$C$104</f>
        <v>56389.479999999981</v>
      </c>
      <c r="AI43" s="125">
        <f t="shared" si="3"/>
        <v>620284.2799999998</v>
      </c>
      <c r="AJ43" s="125">
        <f>Valores!$C$31</f>
        <v>35000</v>
      </c>
      <c r="AK43" s="125">
        <v>0</v>
      </c>
      <c r="AL43" s="125">
        <f>Valores!$C$89</f>
        <v>0</v>
      </c>
      <c r="AM43" s="125">
        <f>Valores!C$39*B43</f>
        <v>0</v>
      </c>
      <c r="AN43" s="125">
        <f>IF($F$3="NO",0,Valores!$C$57)</f>
        <v>0</v>
      </c>
      <c r="AO43" s="125">
        <f t="shared" si="4"/>
        <v>35000</v>
      </c>
      <c r="AP43" s="125">
        <f>AI43*Valores!$C$72</f>
        <v>-68231.270799999984</v>
      </c>
      <c r="AQ43" s="125">
        <f>IF(AI43&lt;Valores!$E$73,-0.02,IF(AI43&lt;Valores!$F$73,-0.03,-0.04))*AI43</f>
        <v>-12405.685599999997</v>
      </c>
      <c r="AR43" s="125">
        <f>AI43*Valores!$C$75</f>
        <v>-34115.635399999992</v>
      </c>
      <c r="AS43" s="125">
        <f>Valores!$C$102</f>
        <v>-1270.1600000000001</v>
      </c>
      <c r="AT43" s="125">
        <f>IF($F$5=0,Valores!$C$103,(Valores!$C$103+$F$5*(Valores!$C$103)))</f>
        <v>-3700</v>
      </c>
      <c r="AU43" s="125">
        <f t="shared" si="6"/>
        <v>535561.52819999983</v>
      </c>
      <c r="AV43" s="125">
        <f t="shared" si="0"/>
        <v>-68231.270799999984</v>
      </c>
      <c r="AW43" s="125">
        <f t="shared" si="7"/>
        <v>-12405.685599999997</v>
      </c>
      <c r="AX43" s="125">
        <f>AI43*Valores!$C$76</f>
        <v>-16747.675559999996</v>
      </c>
      <c r="AY43" s="125">
        <f>AI43*Valores!$C$77</f>
        <v>-1860.8528399999993</v>
      </c>
      <c r="AZ43" s="125">
        <f t="shared" si="5"/>
        <v>556038.79519999982</v>
      </c>
      <c r="BA43" s="125">
        <f>AI43*Valores!$C$79</f>
        <v>99245.484799999977</v>
      </c>
      <c r="BB43" s="125">
        <f>AI43*Valores!$C$80</f>
        <v>43419.89959999999</v>
      </c>
      <c r="BC43" s="125">
        <f>AI43*Valores!$C$81</f>
        <v>6202.8427999999985</v>
      </c>
      <c r="BD43" s="125">
        <f>AI43*Valores!$C$83</f>
        <v>21709.949799999995</v>
      </c>
      <c r="BE43" s="125">
        <f>AI43*Valores!$C$85</f>
        <v>33495.351119999992</v>
      </c>
      <c r="BF43" s="125">
        <f>AI43*Valores!$C$84</f>
        <v>3721.7056799999987</v>
      </c>
      <c r="BG43" s="126"/>
      <c r="BH43" s="126">
        <v>45</v>
      </c>
      <c r="BI43" s="123" t="s">
        <v>4</v>
      </c>
    </row>
    <row r="44" spans="1:61" s="110" customFormat="1" ht="11.25" customHeight="1" x14ac:dyDescent="0.15">
      <c r="A44" s="123" t="s">
        <v>176</v>
      </c>
      <c r="B44" s="123">
        <v>1</v>
      </c>
      <c r="C44" s="126">
        <v>37</v>
      </c>
      <c r="D44" s="124" t="s">
        <v>177</v>
      </c>
      <c r="E44" s="192">
        <v>72</v>
      </c>
      <c r="F44" s="125">
        <f>ROUND(E44*Valores!$C$2,2)</f>
        <v>5586.96</v>
      </c>
      <c r="G44" s="192">
        <v>2471</v>
      </c>
      <c r="H44" s="125">
        <f>ROUND(G44*Valores!$C$2,2)</f>
        <v>191741.45</v>
      </c>
      <c r="I44" s="192">
        <v>199</v>
      </c>
      <c r="J44" s="125">
        <f>ROUND(I44*Valores!$C$2,2)</f>
        <v>15441.74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69308.45</v>
      </c>
      <c r="N44" s="125">
        <f t="shared" si="1"/>
        <v>0</v>
      </c>
      <c r="O44" s="125">
        <f>Valores!$C$9</f>
        <v>97503.47</v>
      </c>
      <c r="P44" s="125">
        <f>Valores!$D$5</f>
        <v>39667.43</v>
      </c>
      <c r="Q44" s="125">
        <v>0</v>
      </c>
      <c r="R44" s="125">
        <f>IF($F$4="NO",Valores!$C$45,Valores!$C$45/2)</f>
        <v>27554.83</v>
      </c>
      <c r="S44" s="125">
        <f>Valores!$C$19</f>
        <v>36908.81</v>
      </c>
      <c r="T44" s="125">
        <f t="shared" si="8"/>
        <v>36908.81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Valores!$C$96</f>
        <v>54315.88</v>
      </c>
      <c r="AA44" s="125">
        <f>Valores!$C$25</f>
        <v>1622.32</v>
      </c>
      <c r="AB44" s="214">
        <v>0</v>
      </c>
      <c r="AC44" s="125">
        <f t="shared" si="2"/>
        <v>0</v>
      </c>
      <c r="AD44" s="125">
        <f>Valores!$C$26</f>
        <v>1622.32</v>
      </c>
      <c r="AE44" s="192">
        <v>0</v>
      </c>
      <c r="AF44" s="125">
        <f>ROUND(AE44*Valores!$C$2,2)</f>
        <v>0</v>
      </c>
      <c r="AG44" s="125">
        <f>ROUND(IF($F$4="NO",Valores!$C$64,Valores!$C$64/2),2)</f>
        <v>18547.32</v>
      </c>
      <c r="AH44" s="125">
        <f>SUM(F44,H44,J44,L44,M44,N44,O44,P44,Q44,R44,T44,U44,V44,X44,Y44,Z44,AA44,AC44,AD44,AF44,AG44)*Valores!$C$104</f>
        <v>55982.097999999976</v>
      </c>
      <c r="AI44" s="125">
        <f t="shared" si="3"/>
        <v>615803.07799999975</v>
      </c>
      <c r="AJ44" s="125">
        <f>Valores!$C$31</f>
        <v>35000</v>
      </c>
      <c r="AK44" s="125">
        <v>0</v>
      </c>
      <c r="AL44" s="125">
        <f>Valores!$C$89</f>
        <v>0</v>
      </c>
      <c r="AM44" s="125">
        <f>Valores!C$39*B44</f>
        <v>0</v>
      </c>
      <c r="AN44" s="125">
        <f>IF($F$3="NO",0,Valores!$C$57)</f>
        <v>0</v>
      </c>
      <c r="AO44" s="125">
        <f t="shared" si="4"/>
        <v>35000</v>
      </c>
      <c r="AP44" s="125">
        <f>AI44*Valores!$C$72</f>
        <v>-67738.338579999967</v>
      </c>
      <c r="AQ44" s="125">
        <f>IF(AI44&lt;Valores!$E$73,-0.02,IF(AI44&lt;Valores!$F$73,-0.03,-0.04))*AI44</f>
        <v>-12316.061559999995</v>
      </c>
      <c r="AR44" s="125">
        <f>AI44*Valores!$C$75</f>
        <v>-33869.169289999983</v>
      </c>
      <c r="AS44" s="125">
        <f>Valores!$C$102</f>
        <v>-1270.1600000000001</v>
      </c>
      <c r="AT44" s="125">
        <f>IF($F$5=0,Valores!$C$103,(Valores!$C$103+$F$5*(Valores!$C$103)))</f>
        <v>-3700</v>
      </c>
      <c r="AU44" s="125">
        <f t="shared" si="6"/>
        <v>531909.3485699998</v>
      </c>
      <c r="AV44" s="125">
        <f t="shared" si="0"/>
        <v>-67738.338579999967</v>
      </c>
      <c r="AW44" s="125">
        <f t="shared" si="7"/>
        <v>-12316.061559999995</v>
      </c>
      <c r="AX44" s="125">
        <f>AI44*Valores!$C$76</f>
        <v>-16626.683105999993</v>
      </c>
      <c r="AY44" s="125">
        <f>AI44*Valores!$C$77</f>
        <v>-1847.4092339999993</v>
      </c>
      <c r="AZ44" s="125">
        <f t="shared" si="5"/>
        <v>552274.58551999973</v>
      </c>
      <c r="BA44" s="125">
        <f>AI44*Valores!$C$79</f>
        <v>98528.492479999957</v>
      </c>
      <c r="BB44" s="125">
        <f>AI44*Valores!$C$80</f>
        <v>43106.215459999985</v>
      </c>
      <c r="BC44" s="125">
        <f>AI44*Valores!$C$81</f>
        <v>6158.0307799999973</v>
      </c>
      <c r="BD44" s="125">
        <f>AI44*Valores!$C$83</f>
        <v>21553.107729999992</v>
      </c>
      <c r="BE44" s="125">
        <f>AI44*Valores!$C$85</f>
        <v>33253.366211999986</v>
      </c>
      <c r="BF44" s="125">
        <f>AI44*Valores!$C$84</f>
        <v>3694.8184679999986</v>
      </c>
      <c r="BG44" s="126"/>
      <c r="BH44" s="126">
        <v>45</v>
      </c>
      <c r="BI44" s="123" t="s">
        <v>4</v>
      </c>
    </row>
    <row r="45" spans="1:61" s="110" customFormat="1" ht="11.25" customHeight="1" x14ac:dyDescent="0.15">
      <c r="A45" s="123" t="s">
        <v>178</v>
      </c>
      <c r="B45" s="123">
        <v>1</v>
      </c>
      <c r="C45" s="126">
        <v>38</v>
      </c>
      <c r="D45" s="124" t="s">
        <v>179</v>
      </c>
      <c r="E45" s="192">
        <f>E39</f>
        <v>85</v>
      </c>
      <c r="F45" s="125">
        <f>ROUND(E45*Valores!$C$2,2)</f>
        <v>6595.72</v>
      </c>
      <c r="G45" s="192">
        <f>G39</f>
        <v>3498</v>
      </c>
      <c r="H45" s="125">
        <f>ROUND(G45*Valores!$C$2,2)</f>
        <v>271433.26</v>
      </c>
      <c r="I45" s="192">
        <f>I39</f>
        <v>1209</v>
      </c>
      <c r="J45" s="125">
        <f>ROUND(I45*Valores!$C$2,2)</f>
        <v>93814.41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110628.89</v>
      </c>
      <c r="N45" s="125">
        <f t="shared" si="1"/>
        <v>0</v>
      </c>
      <c r="O45" s="125">
        <f>O39</f>
        <v>176033.53</v>
      </c>
      <c r="P45" s="125">
        <f>Valores!$D$5</f>
        <v>39667.43</v>
      </c>
      <c r="Q45" s="125">
        <v>0</v>
      </c>
      <c r="R45" s="125">
        <f>IF($F$4="NO",Valores!$C$47,Valores!$C$47/2)</f>
        <v>33763.35</v>
      </c>
      <c r="S45" s="125">
        <f>S39</f>
        <v>36908.81</v>
      </c>
      <c r="T45" s="125">
        <f t="shared" si="8"/>
        <v>36908.81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108631.74</v>
      </c>
      <c r="AA45" s="125">
        <f>Valores!$C$25</f>
        <v>1622.32</v>
      </c>
      <c r="AB45" s="214">
        <v>0</v>
      </c>
      <c r="AC45" s="125">
        <f t="shared" si="2"/>
        <v>0</v>
      </c>
      <c r="AD45" s="125">
        <f>Valores!$C$26</f>
        <v>1622.32</v>
      </c>
      <c r="AE45" s="192">
        <v>0</v>
      </c>
      <c r="AF45" s="125">
        <f>ROUND(AE45*Valores!$C$2,2)</f>
        <v>0</v>
      </c>
      <c r="AG45" s="125">
        <f>ROUND(IF($F$4="NO",Valores!$C$64,Valores!$C$64/2),2)</f>
        <v>18547.32</v>
      </c>
      <c r="AH45" s="125">
        <f>SUM(F45,H45,J45,L45,M45,N45,O45,P45,Q45,R45,T45,U45,V45,X45,Y45,Z45,AA45,AC45,AD45,AF45,AG45)*Valores!$C$104</f>
        <v>89926.91</v>
      </c>
      <c r="AI45" s="125">
        <f t="shared" si="3"/>
        <v>989196.01</v>
      </c>
      <c r="AJ45" s="125">
        <f>AJ39</f>
        <v>70000</v>
      </c>
      <c r="AK45" s="125">
        <v>0</v>
      </c>
      <c r="AL45" s="125">
        <f>AL39</f>
        <v>0</v>
      </c>
      <c r="AM45" s="125">
        <f>Valores!C$39*B45</f>
        <v>0</v>
      </c>
      <c r="AN45" s="125">
        <f>IF($F$3="NO",0,Valores!$C$56)</f>
        <v>0</v>
      </c>
      <c r="AO45" s="125">
        <f t="shared" si="4"/>
        <v>70000</v>
      </c>
      <c r="AP45" s="125">
        <f>AI45*Valores!$C$72</f>
        <v>-108811.56110000001</v>
      </c>
      <c r="AQ45" s="125">
        <f>IF(AI45&lt;Valores!$E$73,-0.02,IF(AI45&lt;Valores!$F$73,-0.03,-0.04))*AI45</f>
        <v>-29675.880300000001</v>
      </c>
      <c r="AR45" s="125">
        <f>AI45*Valores!$C$75</f>
        <v>-54405.780550000003</v>
      </c>
      <c r="AS45" s="125">
        <f>Valores!$C$102</f>
        <v>-1270.1600000000001</v>
      </c>
      <c r="AT45" s="125">
        <f>IF($F$5=0,Valores!$C$103,(Valores!$C$103+$F$5*(Valores!$C$103)))</f>
        <v>-3700</v>
      </c>
      <c r="AU45" s="125">
        <f t="shared" si="6"/>
        <v>861332.62804999994</v>
      </c>
      <c r="AV45" s="125">
        <f t="shared" si="0"/>
        <v>-108811.56110000001</v>
      </c>
      <c r="AW45" s="125">
        <f t="shared" si="7"/>
        <v>-29675.880300000001</v>
      </c>
      <c r="AX45" s="125">
        <f>AI45*Valores!$C$76</f>
        <v>-26708.292270000002</v>
      </c>
      <c r="AY45" s="125">
        <f>AI45*Valores!$C$77</f>
        <v>-2967.5880299999999</v>
      </c>
      <c r="AZ45" s="125">
        <f t="shared" si="5"/>
        <v>891032.68830000004</v>
      </c>
      <c r="BA45" s="125">
        <f>AI45*Valores!$C$79</f>
        <v>158271.3616</v>
      </c>
      <c r="BB45" s="125">
        <f>AI45*Valores!$C$80</f>
        <v>69243.720700000005</v>
      </c>
      <c r="BC45" s="125">
        <f>AI45*Valores!$C$81</f>
        <v>9891.9601000000002</v>
      </c>
      <c r="BD45" s="125">
        <f>AI45*Valores!$C$83</f>
        <v>34621.860350000003</v>
      </c>
      <c r="BE45" s="125">
        <f>AI45*Valores!$C$85</f>
        <v>53416.584540000003</v>
      </c>
      <c r="BF45" s="125">
        <f>AI45*Valores!$C$84</f>
        <v>5935.1760599999998</v>
      </c>
      <c r="BG45" s="126"/>
      <c r="BH45" s="126">
        <v>45</v>
      </c>
      <c r="BI45" s="123" t="s">
        <v>8</v>
      </c>
    </row>
    <row r="46" spans="1:61" s="110" customFormat="1" ht="11.25" customHeight="1" x14ac:dyDescent="0.15">
      <c r="A46" s="123" t="s">
        <v>180</v>
      </c>
      <c r="B46" s="123">
        <v>1</v>
      </c>
      <c r="C46" s="126">
        <v>39</v>
      </c>
      <c r="D46" s="124" t="s">
        <v>181</v>
      </c>
      <c r="E46" s="192">
        <f>E88+E304</f>
        <v>518</v>
      </c>
      <c r="F46" s="125">
        <f>ROUND(E46*Valores!$C$2,2)</f>
        <v>40195.089999999997</v>
      </c>
      <c r="G46" s="192">
        <f>G88+G304</f>
        <v>1997</v>
      </c>
      <c r="H46" s="125">
        <f>ROUND(G46*Valores!$C$2,2)</f>
        <v>154960.60999999999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66637.41</v>
      </c>
      <c r="N46" s="125">
        <f t="shared" si="1"/>
        <v>0</v>
      </c>
      <c r="O46" s="125">
        <f>O88+O304</f>
        <v>112114.37</v>
      </c>
      <c r="P46" s="125">
        <f>Valores!$D$5</f>
        <v>39667.43</v>
      </c>
      <c r="Q46" s="125">
        <f>Q88+Q304</f>
        <v>35387.42</v>
      </c>
      <c r="R46" s="125">
        <f>R88+R304</f>
        <v>34485.130000000005</v>
      </c>
      <c r="S46" s="125">
        <f>S88+S304</f>
        <v>36908.81</v>
      </c>
      <c r="T46" s="125">
        <f t="shared" si="8"/>
        <v>36908.81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54315.88</v>
      </c>
      <c r="AA46" s="125">
        <f>Valores!$C$25</f>
        <v>1622.32</v>
      </c>
      <c r="AB46" s="214">
        <v>0</v>
      </c>
      <c r="AC46" s="125">
        <f t="shared" si="2"/>
        <v>0</v>
      </c>
      <c r="AD46" s="125">
        <f>Valores!$C$26</f>
        <v>1622.32</v>
      </c>
      <c r="AE46" s="192">
        <v>0</v>
      </c>
      <c r="AF46" s="125">
        <f>ROUND(AE46*Valores!$C$2,2)</f>
        <v>0</v>
      </c>
      <c r="AG46" s="125">
        <f>ROUND(IF($F$4="NO",Valores!$C$64,Valores!$C$64/2),2)</f>
        <v>18547.32</v>
      </c>
      <c r="AH46" s="125">
        <f>SUM(F46,H46,J46,L46,M46,N46,O46,P46,Q46,R46,T46,U46,V46,X46,Y46,Z46,AA46,AC46,AD46,AF46,AG46)*Valores!$C$104</f>
        <v>59646.410999999978</v>
      </c>
      <c r="AI46" s="125">
        <f t="shared" si="3"/>
        <v>656110.52099999972</v>
      </c>
      <c r="AJ46" s="125">
        <f>AJ88+AJ304</f>
        <v>35000</v>
      </c>
      <c r="AK46" s="125">
        <v>0</v>
      </c>
      <c r="AL46" s="125">
        <f>AL88+AL304</f>
        <v>0</v>
      </c>
      <c r="AM46" s="125">
        <f>Valores!C$39*B46</f>
        <v>0</v>
      </c>
      <c r="AN46" s="125">
        <f>IF($F$3="NO",0,Valores!$C$57)</f>
        <v>0</v>
      </c>
      <c r="AO46" s="125">
        <f t="shared" si="4"/>
        <v>35000</v>
      </c>
      <c r="AP46" s="125">
        <f>AI46*Valores!$C$72</f>
        <v>-72172.157309999966</v>
      </c>
      <c r="AQ46" s="125">
        <f>IF(AI46&lt;Valores!$E$73,-0.02,IF(AI46&lt;Valores!$F$73,-0.03,-0.04))*AI46</f>
        <v>-13122.210419999994</v>
      </c>
      <c r="AR46" s="125">
        <f>AI46*Valores!$C$75</f>
        <v>-36086.078654999983</v>
      </c>
      <c r="AS46" s="125">
        <f>Valores!$C$102</f>
        <v>-1270.1600000000001</v>
      </c>
      <c r="AT46" s="125">
        <f>IF($F$5=0,Valores!$C$103,(Valores!$C$103+$F$5*(Valores!$C$103)))</f>
        <v>-3700</v>
      </c>
      <c r="AU46" s="125">
        <f t="shared" si="6"/>
        <v>564759.91461499978</v>
      </c>
      <c r="AV46" s="125">
        <f t="shared" si="0"/>
        <v>-72172.157309999966</v>
      </c>
      <c r="AW46" s="125">
        <f t="shared" si="7"/>
        <v>-13122.210419999994</v>
      </c>
      <c r="AX46" s="125">
        <f>AI46*Valores!$C$76</f>
        <v>-17714.984066999994</v>
      </c>
      <c r="AY46" s="125">
        <f>AI46*Valores!$C$77</f>
        <v>-1968.3315629999993</v>
      </c>
      <c r="AZ46" s="125">
        <f t="shared" si="5"/>
        <v>586132.83763999981</v>
      </c>
      <c r="BA46" s="125">
        <f>AI46*Valores!$C$79</f>
        <v>104977.68335999995</v>
      </c>
      <c r="BB46" s="125">
        <f>AI46*Valores!$C$80</f>
        <v>45927.736469999982</v>
      </c>
      <c r="BC46" s="125">
        <f>AI46*Valores!$C$81</f>
        <v>6561.105209999997</v>
      </c>
      <c r="BD46" s="125">
        <f>AI46*Valores!$C$83</f>
        <v>22963.868234999991</v>
      </c>
      <c r="BE46" s="125">
        <f>AI46*Valores!$C$85</f>
        <v>35429.968133999988</v>
      </c>
      <c r="BF46" s="125">
        <f>AI46*Valores!$C$84</f>
        <v>3936.6631259999986</v>
      </c>
      <c r="BG46" s="126"/>
      <c r="BH46" s="126"/>
      <c r="BI46" s="123" t="s">
        <v>8</v>
      </c>
    </row>
    <row r="47" spans="1:61" s="110" customFormat="1" ht="11.25" customHeight="1" x14ac:dyDescent="0.15">
      <c r="A47" s="123" t="s">
        <v>182</v>
      </c>
      <c r="B47" s="123">
        <v>1</v>
      </c>
      <c r="C47" s="126">
        <v>40</v>
      </c>
      <c r="D47" s="124" t="s">
        <v>183</v>
      </c>
      <c r="E47" s="192">
        <f>E55+E237</f>
        <v>572</v>
      </c>
      <c r="F47" s="125">
        <f>ROUND(E47*Valores!$C$2,2)</f>
        <v>44385.31</v>
      </c>
      <c r="G47" s="192">
        <f>G55+G237</f>
        <v>2686</v>
      </c>
      <c r="H47" s="125">
        <f>ROUND(G47*Valores!$C$2,2)</f>
        <v>208424.74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83024.039999999994</v>
      </c>
      <c r="N47" s="125">
        <f t="shared" si="1"/>
        <v>0</v>
      </c>
      <c r="O47" s="125">
        <f>O55+O237</f>
        <v>113291.69</v>
      </c>
      <c r="P47" s="125">
        <f>Valores!$D$5</f>
        <v>39667.43</v>
      </c>
      <c r="Q47" s="125">
        <f>Q55+Q237</f>
        <v>35387.42</v>
      </c>
      <c r="R47" s="125">
        <f>R55+R237</f>
        <v>37411.68</v>
      </c>
      <c r="S47" s="125">
        <f>S55+S237</f>
        <v>41874.409999999996</v>
      </c>
      <c r="T47" s="125">
        <f t="shared" si="8"/>
        <v>41874.410000000003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80338.040000000008</v>
      </c>
      <c r="AA47" s="125">
        <f>AA55+AA237</f>
        <v>2012.44</v>
      </c>
      <c r="AB47" s="214">
        <v>0</v>
      </c>
      <c r="AC47" s="125">
        <f t="shared" si="2"/>
        <v>0</v>
      </c>
      <c r="AD47" s="125">
        <f>Valores!$C$26</f>
        <v>1622.32</v>
      </c>
      <c r="AE47" s="192">
        <v>0</v>
      </c>
      <c r="AF47" s="125">
        <f>ROUND(AE47*Valores!$C$2,2)</f>
        <v>0</v>
      </c>
      <c r="AG47" s="125">
        <f>AG55+AG237</f>
        <v>25966.27</v>
      </c>
      <c r="AH47" s="125">
        <f>SUM(F47,H47,J47,L47,M47,N47,O47,P47,Q47,R47,T47,U47,V47,X47,Y47,Z47,AA47,AC47,AD47,AF47,AG47)*Valores!$C$104</f>
        <v>71340.578999999998</v>
      </c>
      <c r="AI47" s="125">
        <f t="shared" si="3"/>
        <v>784746.36899999995</v>
      </c>
      <c r="AJ47" s="125">
        <f>AJ55+AJ237</f>
        <v>48999.999999999978</v>
      </c>
      <c r="AK47" s="125">
        <v>0</v>
      </c>
      <c r="AL47" s="125">
        <f>AL55+AL237</f>
        <v>0</v>
      </c>
      <c r="AM47" s="125">
        <f>Valores!C$39*B47</f>
        <v>0</v>
      </c>
      <c r="AN47" s="125">
        <f>IF($F$3="NO",0,Valores!$C$57)</f>
        <v>0</v>
      </c>
      <c r="AO47" s="125">
        <f t="shared" si="4"/>
        <v>48999.999999999978</v>
      </c>
      <c r="AP47" s="125">
        <f>AI47*Valores!$C$72</f>
        <v>-86322.100590000002</v>
      </c>
      <c r="AQ47" s="125">
        <f>IF(AI47&lt;Valores!$E$73,-0.02,IF(AI47&lt;Valores!$F$73,-0.03,-0.04))*AI47</f>
        <v>-23542.391069999998</v>
      </c>
      <c r="AR47" s="125">
        <f>AI47*Valores!$C$75</f>
        <v>-43161.050295000001</v>
      </c>
      <c r="AS47" s="125">
        <f>Valores!$C$102</f>
        <v>-1270.1600000000001</v>
      </c>
      <c r="AT47" s="125">
        <f>IF($F$5=0,Valores!$C$103,(Valores!$C$103+$F$5*(Valores!$C$103)))</f>
        <v>-3700</v>
      </c>
      <c r="AU47" s="125">
        <f t="shared" si="6"/>
        <v>675750.66704499989</v>
      </c>
      <c r="AV47" s="125">
        <f t="shared" si="0"/>
        <v>-86322.100590000002</v>
      </c>
      <c r="AW47" s="125">
        <f t="shared" si="7"/>
        <v>-23542.391069999998</v>
      </c>
      <c r="AX47" s="125">
        <f>AI47*Valores!$C$76</f>
        <v>-21188.151962999997</v>
      </c>
      <c r="AY47" s="125">
        <f>AI47*Valores!$C$77</f>
        <v>-2354.2391069999999</v>
      </c>
      <c r="AZ47" s="125">
        <f t="shared" si="5"/>
        <v>700339.48626999999</v>
      </c>
      <c r="BA47" s="125">
        <f>AI47*Valores!$C$79</f>
        <v>125559.41903999999</v>
      </c>
      <c r="BB47" s="125">
        <f>AI47*Valores!$C$80</f>
        <v>54932.24583</v>
      </c>
      <c r="BC47" s="125">
        <f>AI47*Valores!$C$81</f>
        <v>7847.4636899999996</v>
      </c>
      <c r="BD47" s="125">
        <f>AI47*Valores!$C$83</f>
        <v>27466.122915</v>
      </c>
      <c r="BE47" s="125">
        <f>AI47*Valores!$C$85</f>
        <v>42376.303925999993</v>
      </c>
      <c r="BF47" s="125">
        <f>AI47*Valores!$C$84</f>
        <v>4708.4782139999998</v>
      </c>
      <c r="BG47" s="126"/>
      <c r="BH47" s="126"/>
      <c r="BI47" s="123" t="s">
        <v>8</v>
      </c>
    </row>
    <row r="48" spans="1:61" s="110" customFormat="1" ht="11.25" customHeight="1" x14ac:dyDescent="0.15">
      <c r="A48" s="123" t="s">
        <v>184</v>
      </c>
      <c r="B48" s="123">
        <v>1</v>
      </c>
      <c r="C48" s="126">
        <v>41</v>
      </c>
      <c r="D48" s="124" t="s">
        <v>185</v>
      </c>
      <c r="E48" s="192">
        <v>108</v>
      </c>
      <c r="F48" s="125">
        <f>ROUND(E48*Valores!$C$2,2)</f>
        <v>8380.44</v>
      </c>
      <c r="G48" s="192">
        <v>2907</v>
      </c>
      <c r="H48" s="125">
        <f>ROUND(G48*Valores!$C$2,2)</f>
        <v>225573.61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74989.55</v>
      </c>
      <c r="N48" s="125">
        <f t="shared" si="1"/>
        <v>0</v>
      </c>
      <c r="O48" s="125">
        <f>Valores!$C$9</f>
        <v>97503.47</v>
      </c>
      <c r="P48" s="125">
        <f>Valores!$D$5</f>
        <v>39667.43</v>
      </c>
      <c r="Q48" s="125">
        <f>Valores!$C$22</f>
        <v>35387.42</v>
      </c>
      <c r="R48" s="125">
        <f>IF($F$4="NO",Valores!$C$46,Valores!$C$46/2)</f>
        <v>29095.32</v>
      </c>
      <c r="S48" s="125">
        <f>Valores!$C$19</f>
        <v>36908.81</v>
      </c>
      <c r="T48" s="125">
        <f t="shared" si="8"/>
        <v>36908.81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Valores!$C$97</f>
        <v>65179.040000000001</v>
      </c>
      <c r="AA48" s="125">
        <f>Valores!$C$25</f>
        <v>1622.32</v>
      </c>
      <c r="AB48" s="214">
        <v>0</v>
      </c>
      <c r="AC48" s="125">
        <f t="shared" si="2"/>
        <v>0</v>
      </c>
      <c r="AD48" s="125">
        <f>Valores!$C$26</f>
        <v>1622.32</v>
      </c>
      <c r="AE48" s="192">
        <v>0</v>
      </c>
      <c r="AF48" s="125">
        <f>ROUND(AE48*Valores!$C$2,2)</f>
        <v>0</v>
      </c>
      <c r="AG48" s="125">
        <f>ROUND(IF($F$4="NO",Valores!$C$64,Valores!$C$64/2),2)</f>
        <v>18547.32</v>
      </c>
      <c r="AH48" s="125">
        <f>SUM(F48,H48,J48,L48,M48,N48,O48,P48,Q48,R48,T48,U48,V48,X48,Y48,Z48,AA48,AC48,AD48,AF48,AG48)*Valores!$C$104</f>
        <v>63447.704999999987</v>
      </c>
      <c r="AI48" s="125">
        <f t="shared" si="3"/>
        <v>697924.75499999977</v>
      </c>
      <c r="AJ48" s="125">
        <f>Valores!$C$31</f>
        <v>35000</v>
      </c>
      <c r="AK48" s="125">
        <v>0</v>
      </c>
      <c r="AL48" s="125">
        <f>Valores!$C$90</f>
        <v>0</v>
      </c>
      <c r="AM48" s="125">
        <f>Valores!C$39*B48</f>
        <v>0</v>
      </c>
      <c r="AN48" s="125">
        <f>IF($F$3="NO",0,Valores!$C$57)</f>
        <v>0</v>
      </c>
      <c r="AO48" s="125">
        <f t="shared" si="4"/>
        <v>35000</v>
      </c>
      <c r="AP48" s="125">
        <f>AI48*Valores!$C$72</f>
        <v>-76771.723049999971</v>
      </c>
      <c r="AQ48" s="125">
        <f>IF(AI48&lt;Valores!$E$73,-0.02,IF(AI48&lt;Valores!$F$73,-0.03,-0.04))*AI48</f>
        <v>-13958.495099999996</v>
      </c>
      <c r="AR48" s="125">
        <f>AI48*Valores!$C$75</f>
        <v>-38385.861524999986</v>
      </c>
      <c r="AS48" s="125">
        <f>Valores!$C$102</f>
        <v>-1270.1600000000001</v>
      </c>
      <c r="AT48" s="125">
        <f>IF($F$5=0,Valores!$C$103,(Valores!$C$103+$F$5*(Valores!$C$103)))</f>
        <v>-3700</v>
      </c>
      <c r="AU48" s="125">
        <f t="shared" si="6"/>
        <v>598838.51532499981</v>
      </c>
      <c r="AV48" s="125">
        <f t="shared" si="0"/>
        <v>-76771.723049999971</v>
      </c>
      <c r="AW48" s="125">
        <f t="shared" si="7"/>
        <v>-13958.495099999996</v>
      </c>
      <c r="AX48" s="125">
        <f>AI48*Valores!$C$76</f>
        <v>-18843.968384999993</v>
      </c>
      <c r="AY48" s="125">
        <f>AI48*Valores!$C$77</f>
        <v>-2093.7742649999996</v>
      </c>
      <c r="AZ48" s="125">
        <f t="shared" si="5"/>
        <v>621256.79419999977</v>
      </c>
      <c r="BA48" s="125">
        <f>AI48*Valores!$C$79</f>
        <v>111667.96079999997</v>
      </c>
      <c r="BB48" s="125">
        <f>AI48*Valores!$C$80</f>
        <v>48854.732849999986</v>
      </c>
      <c r="BC48" s="125">
        <f>AI48*Valores!$C$81</f>
        <v>6979.2475499999982</v>
      </c>
      <c r="BD48" s="125">
        <f>AI48*Valores!$C$83</f>
        <v>24427.366424999993</v>
      </c>
      <c r="BE48" s="125">
        <f>AI48*Valores!$C$85</f>
        <v>37687.936769999986</v>
      </c>
      <c r="BF48" s="125">
        <f>AI48*Valores!$C$84</f>
        <v>4187.5485299999991</v>
      </c>
      <c r="BG48" s="126"/>
      <c r="BH48" s="126">
        <v>30</v>
      </c>
      <c r="BI48" s="123" t="s">
        <v>4</v>
      </c>
    </row>
    <row r="49" spans="1:61" s="110" customFormat="1" ht="11.25" customHeight="1" x14ac:dyDescent="0.15">
      <c r="A49" s="123" t="s">
        <v>186</v>
      </c>
      <c r="B49" s="123">
        <v>1</v>
      </c>
      <c r="C49" s="126">
        <v>42</v>
      </c>
      <c r="D49" s="124" t="s">
        <v>187</v>
      </c>
      <c r="E49" s="192">
        <v>88</v>
      </c>
      <c r="F49" s="125">
        <f>ROUND(E49*Valores!$C$2,2)</f>
        <v>6828.51</v>
      </c>
      <c r="G49" s="192">
        <v>2622</v>
      </c>
      <c r="H49" s="125">
        <f>ROUND(G49*Valores!$C$2,2)</f>
        <v>203458.55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69072.800000000003</v>
      </c>
      <c r="N49" s="125">
        <f t="shared" si="1"/>
        <v>0</v>
      </c>
      <c r="O49" s="125">
        <f>Valores!$C$9</f>
        <v>97503.47</v>
      </c>
      <c r="P49" s="125">
        <f>Valores!$D$5</f>
        <v>39667.43</v>
      </c>
      <c r="Q49" s="125">
        <f>Valores!$C$22</f>
        <v>35387.42</v>
      </c>
      <c r="R49" s="125">
        <f>IF($F$4="NO",Valores!$C$46,Valores!$C$46/2)</f>
        <v>29095.32</v>
      </c>
      <c r="S49" s="125">
        <f>Valores!$C$19</f>
        <v>36908.81</v>
      </c>
      <c r="T49" s="125">
        <f t="shared" si="8"/>
        <v>36908.81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Valores!$C$97</f>
        <v>65179.040000000001</v>
      </c>
      <c r="AA49" s="125">
        <f>Valores!$C$25</f>
        <v>1622.32</v>
      </c>
      <c r="AB49" s="214">
        <v>0</v>
      </c>
      <c r="AC49" s="125">
        <f t="shared" si="2"/>
        <v>0</v>
      </c>
      <c r="AD49" s="125">
        <f>Valores!$C$26</f>
        <v>1622.32</v>
      </c>
      <c r="AE49" s="192">
        <v>0</v>
      </c>
      <c r="AF49" s="125">
        <f>ROUND(AE49*Valores!$C$2,2)</f>
        <v>0</v>
      </c>
      <c r="AG49" s="125">
        <f>ROUND(IF($F$4="NO",Valores!$C$64,Valores!$C$64/2),2)</f>
        <v>18547.32</v>
      </c>
      <c r="AH49" s="125">
        <f>SUM(F49,H49,J49,L49,M49,N49,O49,P49,Q49,R49,T49,U49,V49,X49,Y49,Z49,AA49,AC49,AD49,AF49,AG49)*Valores!$C$104</f>
        <v>60489.330999999984</v>
      </c>
      <c r="AI49" s="125">
        <f t="shared" si="3"/>
        <v>665382.64099999983</v>
      </c>
      <c r="AJ49" s="125">
        <f>Valores!$C$31</f>
        <v>35000</v>
      </c>
      <c r="AK49" s="125">
        <v>0</v>
      </c>
      <c r="AL49" s="125">
        <f>Valores!$C$90</f>
        <v>0</v>
      </c>
      <c r="AM49" s="125">
        <f>Valores!C$39*B49</f>
        <v>0</v>
      </c>
      <c r="AN49" s="125">
        <f>IF($F$3="NO",0,Valores!$C$57)</f>
        <v>0</v>
      </c>
      <c r="AO49" s="125">
        <f t="shared" si="4"/>
        <v>35000</v>
      </c>
      <c r="AP49" s="125">
        <f>AI49*Valores!$C$72</f>
        <v>-73192.09050999998</v>
      </c>
      <c r="AQ49" s="125">
        <f>IF(AI49&lt;Valores!$E$73,-0.02,IF(AI49&lt;Valores!$F$73,-0.03,-0.04))*AI49</f>
        <v>-13307.652819999998</v>
      </c>
      <c r="AR49" s="125">
        <f>AI49*Valores!$C$75</f>
        <v>-36596.04525499999</v>
      </c>
      <c r="AS49" s="125">
        <f>Valores!$C$102</f>
        <v>-1270.1600000000001</v>
      </c>
      <c r="AT49" s="125">
        <f>IF($F$5=0,Valores!$C$103,(Valores!$C$103+$F$5*(Valores!$C$103)))</f>
        <v>-3700</v>
      </c>
      <c r="AU49" s="125">
        <f t="shared" si="6"/>
        <v>572316.69241499982</v>
      </c>
      <c r="AV49" s="125">
        <f t="shared" si="0"/>
        <v>-73192.09050999998</v>
      </c>
      <c r="AW49" s="125">
        <f t="shared" si="7"/>
        <v>-13307.652819999998</v>
      </c>
      <c r="AX49" s="125">
        <f>AI49*Valores!$C$76</f>
        <v>-17965.331306999997</v>
      </c>
      <c r="AY49" s="125">
        <f>AI49*Valores!$C$77</f>
        <v>-1996.1479229999995</v>
      </c>
      <c r="AZ49" s="125">
        <f t="shared" si="5"/>
        <v>593921.4184399998</v>
      </c>
      <c r="BA49" s="125">
        <f>AI49*Valores!$C$79</f>
        <v>106461.22255999998</v>
      </c>
      <c r="BB49" s="125">
        <f>AI49*Valores!$C$80</f>
        <v>46576.784869999996</v>
      </c>
      <c r="BC49" s="125">
        <f>AI49*Valores!$C$81</f>
        <v>6653.8264099999988</v>
      </c>
      <c r="BD49" s="125">
        <f>AI49*Valores!$C$83</f>
        <v>23288.392434999998</v>
      </c>
      <c r="BE49" s="125">
        <f>AI49*Valores!$C$85</f>
        <v>35930.662613999993</v>
      </c>
      <c r="BF49" s="125">
        <f>AI49*Valores!$C$84</f>
        <v>3992.2958459999991</v>
      </c>
      <c r="BG49" s="126"/>
      <c r="BH49" s="126">
        <v>30</v>
      </c>
      <c r="BI49" s="123" t="s">
        <v>4</v>
      </c>
    </row>
    <row r="50" spans="1:61" s="110" customFormat="1" ht="11.25" customHeight="1" x14ac:dyDescent="0.15">
      <c r="A50" s="123" t="s">
        <v>188</v>
      </c>
      <c r="B50" s="123">
        <v>1</v>
      </c>
      <c r="C50" s="126">
        <v>43</v>
      </c>
      <c r="D50" s="124" t="s">
        <v>189</v>
      </c>
      <c r="E50" s="192">
        <v>88</v>
      </c>
      <c r="F50" s="125">
        <f>ROUND(E50*Valores!$C$2,2)</f>
        <v>6828.51</v>
      </c>
      <c r="G50" s="192">
        <v>2622</v>
      </c>
      <c r="H50" s="125">
        <f>ROUND(G50*Valores!$C$2,2)</f>
        <v>203458.55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69072.800000000003</v>
      </c>
      <c r="N50" s="125">
        <f t="shared" si="1"/>
        <v>0</v>
      </c>
      <c r="O50" s="125">
        <f>Valores!$C$9</f>
        <v>97503.47</v>
      </c>
      <c r="P50" s="125">
        <f>Valores!$D$5</f>
        <v>39667.43</v>
      </c>
      <c r="Q50" s="125">
        <f>Valores!$C$22</f>
        <v>35387.42</v>
      </c>
      <c r="R50" s="125">
        <f>IF($F$4="NO",Valores!$C$46,Valores!$C$46/2)</f>
        <v>29095.32</v>
      </c>
      <c r="S50" s="125">
        <f>Valores!$C$19</f>
        <v>36908.81</v>
      </c>
      <c r="T50" s="125">
        <f t="shared" si="8"/>
        <v>36908.81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Valores!$C$97</f>
        <v>65179.040000000001</v>
      </c>
      <c r="AA50" s="125">
        <f>Valores!$C$25</f>
        <v>1622.32</v>
      </c>
      <c r="AB50" s="214">
        <v>0</v>
      </c>
      <c r="AC50" s="125">
        <f t="shared" si="2"/>
        <v>0</v>
      </c>
      <c r="AD50" s="125">
        <f>Valores!$C$26</f>
        <v>1622.32</v>
      </c>
      <c r="AE50" s="192">
        <v>0</v>
      </c>
      <c r="AF50" s="125">
        <f>ROUND(AE50*Valores!$C$2,2)</f>
        <v>0</v>
      </c>
      <c r="AG50" s="125">
        <f>ROUND(IF($F$4="NO",Valores!$C$64,Valores!$C$64/2),2)</f>
        <v>18547.32</v>
      </c>
      <c r="AH50" s="125">
        <f>SUM(F50,H50,J50,L50,M50,N50,O50,P50,Q50,R50,T50,U50,V50,X50,Y50,Z50,AA50,AC50,AD50,AF50,AG50)*Valores!$C$104</f>
        <v>60489.330999999984</v>
      </c>
      <c r="AI50" s="125">
        <f t="shared" si="3"/>
        <v>665382.64099999983</v>
      </c>
      <c r="AJ50" s="125">
        <f>Valores!$C$31</f>
        <v>35000</v>
      </c>
      <c r="AK50" s="125">
        <v>0</v>
      </c>
      <c r="AL50" s="125">
        <f>Valores!$C$90</f>
        <v>0</v>
      </c>
      <c r="AM50" s="125">
        <f>Valores!C$39*B50</f>
        <v>0</v>
      </c>
      <c r="AN50" s="125">
        <f>IF($F$3="NO",0,Valores!$C$57)</f>
        <v>0</v>
      </c>
      <c r="AO50" s="125">
        <f t="shared" si="4"/>
        <v>35000</v>
      </c>
      <c r="AP50" s="125">
        <f>AI50*Valores!$C$72</f>
        <v>-73192.09050999998</v>
      </c>
      <c r="AQ50" s="125">
        <f>IF(AI50&lt;Valores!$E$73,-0.02,IF(AI50&lt;Valores!$F$73,-0.03,-0.04))*AI50</f>
        <v>-13307.652819999998</v>
      </c>
      <c r="AR50" s="125">
        <f>AI50*Valores!$C$75</f>
        <v>-36596.04525499999</v>
      </c>
      <c r="AS50" s="125">
        <f>Valores!$C$102</f>
        <v>-1270.1600000000001</v>
      </c>
      <c r="AT50" s="125">
        <f>IF($F$5=0,Valores!$C$103,(Valores!$C$103+$F$5*(Valores!$C$103)))</f>
        <v>-3700</v>
      </c>
      <c r="AU50" s="125">
        <f t="shared" si="6"/>
        <v>572316.69241499982</v>
      </c>
      <c r="AV50" s="125">
        <f t="shared" si="0"/>
        <v>-73192.09050999998</v>
      </c>
      <c r="AW50" s="125">
        <f t="shared" si="7"/>
        <v>-13307.652819999998</v>
      </c>
      <c r="AX50" s="125">
        <f>AI50*Valores!$C$76</f>
        <v>-17965.331306999997</v>
      </c>
      <c r="AY50" s="125">
        <f>AI50*Valores!$C$77</f>
        <v>-1996.1479229999995</v>
      </c>
      <c r="AZ50" s="125">
        <f t="shared" si="5"/>
        <v>593921.4184399998</v>
      </c>
      <c r="BA50" s="125">
        <f>AI50*Valores!$C$79</f>
        <v>106461.22255999998</v>
      </c>
      <c r="BB50" s="125">
        <f>AI50*Valores!$C$80</f>
        <v>46576.784869999996</v>
      </c>
      <c r="BC50" s="125">
        <f>AI50*Valores!$C$81</f>
        <v>6653.8264099999988</v>
      </c>
      <c r="BD50" s="125">
        <f>AI50*Valores!$C$83</f>
        <v>23288.392434999998</v>
      </c>
      <c r="BE50" s="125">
        <f>AI50*Valores!$C$85</f>
        <v>35930.662613999993</v>
      </c>
      <c r="BF50" s="125">
        <f>AI50*Valores!$C$84</f>
        <v>3992.2958459999991</v>
      </c>
      <c r="BG50" s="126"/>
      <c r="BH50" s="126">
        <v>30</v>
      </c>
      <c r="BI50" s="123" t="s">
        <v>4</v>
      </c>
    </row>
    <row r="51" spans="1:61" s="110" customFormat="1" ht="11.25" customHeight="1" x14ac:dyDescent="0.15">
      <c r="A51" s="123" t="s">
        <v>190</v>
      </c>
      <c r="B51" s="123">
        <v>1</v>
      </c>
      <c r="C51" s="126">
        <v>44</v>
      </c>
      <c r="D51" s="124" t="s">
        <v>191</v>
      </c>
      <c r="E51" s="192">
        <v>80</v>
      </c>
      <c r="F51" s="125">
        <f>ROUND(E51*Valores!$C$2,2)</f>
        <v>6207.74</v>
      </c>
      <c r="G51" s="192">
        <v>2278</v>
      </c>
      <c r="H51" s="125">
        <f>ROUND(G51*Valores!$C$2,2)</f>
        <v>176765.28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62244.29</v>
      </c>
      <c r="N51" s="125">
        <f t="shared" si="1"/>
        <v>0</v>
      </c>
      <c r="O51" s="125">
        <f>Valores!$C$9</f>
        <v>97503.47</v>
      </c>
      <c r="P51" s="125">
        <f>Valores!$D$5</f>
        <v>39667.43</v>
      </c>
      <c r="Q51" s="125">
        <f>Valores!$C$22</f>
        <v>35387.42</v>
      </c>
      <c r="R51" s="125">
        <f>IF($F$4="NO",Valores!$C$46,Valores!$C$46/2)</f>
        <v>29095.32</v>
      </c>
      <c r="S51" s="125">
        <f>Valores!$C$19</f>
        <v>36908.81</v>
      </c>
      <c r="T51" s="125">
        <f t="shared" si="8"/>
        <v>36908.81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Valores!$C$97</f>
        <v>65179.040000000001</v>
      </c>
      <c r="AA51" s="125">
        <f>Valores!$C$25</f>
        <v>1622.32</v>
      </c>
      <c r="AB51" s="214">
        <v>0</v>
      </c>
      <c r="AC51" s="125">
        <f t="shared" si="2"/>
        <v>0</v>
      </c>
      <c r="AD51" s="125">
        <f>Valores!$C$26</f>
        <v>1622.32</v>
      </c>
      <c r="AE51" s="192">
        <v>0</v>
      </c>
      <c r="AF51" s="125">
        <f>ROUND(AE51*Valores!$C$2,2)</f>
        <v>0</v>
      </c>
      <c r="AG51" s="125">
        <f>ROUND(IF($F$4="NO",Valores!$C$64,Valores!$C$64/2),2)</f>
        <v>18547.32</v>
      </c>
      <c r="AH51" s="125">
        <f>SUM(F51,H51,J51,L51,M51,N51,O51,P51,Q51,R51,T51,U51,V51,X51,Y51,Z51,AA51,AC51,AD51,AF51,AG51)*Valores!$C$104</f>
        <v>57075.075999999994</v>
      </c>
      <c r="AI51" s="125">
        <f t="shared" si="3"/>
        <v>627825.83599999989</v>
      </c>
      <c r="AJ51" s="125">
        <f>Valores!$C$31</f>
        <v>35000</v>
      </c>
      <c r="AK51" s="125">
        <v>0</v>
      </c>
      <c r="AL51" s="125">
        <f>Valores!$C$90</f>
        <v>0</v>
      </c>
      <c r="AM51" s="125">
        <f>Valores!C$39*B51</f>
        <v>0</v>
      </c>
      <c r="AN51" s="125">
        <f>IF($F$3="NO",0,Valores!$C$57)</f>
        <v>0</v>
      </c>
      <c r="AO51" s="125">
        <f t="shared" si="4"/>
        <v>35000</v>
      </c>
      <c r="AP51" s="125">
        <f>AI51*Valores!$C$72</f>
        <v>-69060.841959999991</v>
      </c>
      <c r="AQ51" s="125">
        <f>IF(AI51&lt;Valores!$E$73,-0.02,IF(AI51&lt;Valores!$F$73,-0.03,-0.04))*AI51</f>
        <v>-12556.516719999998</v>
      </c>
      <c r="AR51" s="125">
        <f>AI51*Valores!$C$75</f>
        <v>-34530.420979999995</v>
      </c>
      <c r="AS51" s="125">
        <f>Valores!$C$102</f>
        <v>-1270.1600000000001</v>
      </c>
      <c r="AT51" s="125">
        <f>IF($F$5=0,Valores!$C$103,(Valores!$C$103+$F$5*(Valores!$C$103)))</f>
        <v>-3700</v>
      </c>
      <c r="AU51" s="125">
        <f t="shared" si="6"/>
        <v>541707.89633999986</v>
      </c>
      <c r="AV51" s="125">
        <f t="shared" si="0"/>
        <v>-69060.841959999991</v>
      </c>
      <c r="AW51" s="125">
        <f t="shared" si="7"/>
        <v>-12556.516719999998</v>
      </c>
      <c r="AX51" s="125">
        <f>AI51*Valores!$C$76</f>
        <v>-16951.297571999996</v>
      </c>
      <c r="AY51" s="125">
        <f>AI51*Valores!$C$77</f>
        <v>-1883.4775079999997</v>
      </c>
      <c r="AZ51" s="125">
        <f t="shared" si="5"/>
        <v>562373.7022399999</v>
      </c>
      <c r="BA51" s="125">
        <f>AI51*Valores!$C$79</f>
        <v>100452.13375999998</v>
      </c>
      <c r="BB51" s="125">
        <f>AI51*Valores!$C$80</f>
        <v>43947.808519999999</v>
      </c>
      <c r="BC51" s="125">
        <f>AI51*Valores!$C$81</f>
        <v>6278.2583599999989</v>
      </c>
      <c r="BD51" s="125">
        <f>AI51*Valores!$C$83</f>
        <v>21973.904259999999</v>
      </c>
      <c r="BE51" s="125">
        <f>AI51*Valores!$C$85</f>
        <v>33902.595143999992</v>
      </c>
      <c r="BF51" s="125">
        <f>AI51*Valores!$C$84</f>
        <v>3766.9550159999994</v>
      </c>
      <c r="BG51" s="126"/>
      <c r="BH51" s="126">
        <v>30</v>
      </c>
      <c r="BI51" s="123" t="s">
        <v>4</v>
      </c>
    </row>
    <row r="52" spans="1:61" s="110" customFormat="1" ht="11.25" customHeight="1" x14ac:dyDescent="0.15">
      <c r="A52" s="123" t="s">
        <v>192</v>
      </c>
      <c r="B52" s="123">
        <v>1</v>
      </c>
      <c r="C52" s="126">
        <v>45</v>
      </c>
      <c r="D52" s="124" t="s">
        <v>193</v>
      </c>
      <c r="E52" s="192">
        <v>100</v>
      </c>
      <c r="F52" s="125">
        <f>ROUND(E52*Valores!$C$2,2)</f>
        <v>7759.67</v>
      </c>
      <c r="G52" s="192">
        <v>3620</v>
      </c>
      <c r="H52" s="125">
        <f>ROUND(G52*Valores!$C$2,2)</f>
        <v>280900.05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91758.59</v>
      </c>
      <c r="N52" s="125">
        <f t="shared" si="1"/>
        <v>0</v>
      </c>
      <c r="O52" s="125">
        <f>Valores!$C$9</f>
        <v>97503.47</v>
      </c>
      <c r="P52" s="125">
        <f>Valores!$D$5</f>
        <v>39667.43</v>
      </c>
      <c r="Q52" s="125">
        <f>Valores!$C$22</f>
        <v>35387.42</v>
      </c>
      <c r="R52" s="125">
        <f>IF($F$4="NO",Valores!$C$48,Valores!$C$48/2)</f>
        <v>41465.839999999997</v>
      </c>
      <c r="S52" s="125">
        <f>Valores!$C$19</f>
        <v>36908.81</v>
      </c>
      <c r="T52" s="125">
        <f t="shared" si="8"/>
        <v>36908.81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Valores!$C$98</f>
        <v>108631.74</v>
      </c>
      <c r="AA52" s="125">
        <f>Valores!$C$25</f>
        <v>1622.32</v>
      </c>
      <c r="AB52" s="214">
        <v>0</v>
      </c>
      <c r="AC52" s="125">
        <f t="shared" si="2"/>
        <v>0</v>
      </c>
      <c r="AD52" s="125">
        <f>Valores!$C$26</f>
        <v>1622.32</v>
      </c>
      <c r="AE52" s="192">
        <v>0</v>
      </c>
      <c r="AF52" s="125">
        <f>ROUND(AE52*Valores!$C$2,2)</f>
        <v>0</v>
      </c>
      <c r="AG52" s="125">
        <f>ROUND(IF($F$4="NO",Valores!$C$64,Valores!$C$64/2),2)</f>
        <v>18547.32</v>
      </c>
      <c r="AH52" s="125">
        <f>SUM(F52,H52,J52,L52,M52,N52,O52,P52,Q52,R52,T52,U52,V52,X52,Y52,Z52,AA52,AC52,AD52,AF52,AG52)*Valores!$C$104</f>
        <v>76177.497999999963</v>
      </c>
      <c r="AI52" s="125">
        <f t="shared" si="3"/>
        <v>837952.47799999965</v>
      </c>
      <c r="AJ52" s="125">
        <f>Valores!$C$32</f>
        <v>70000</v>
      </c>
      <c r="AK52" s="125">
        <v>0</v>
      </c>
      <c r="AL52" s="125">
        <f>Valores!$C$91</f>
        <v>0</v>
      </c>
      <c r="AM52" s="125">
        <f>Valores!C$39*B52</f>
        <v>0</v>
      </c>
      <c r="AN52" s="125">
        <f>IF($F$3="NO",0,Valores!$C$57)</f>
        <v>0</v>
      </c>
      <c r="AO52" s="125">
        <f t="shared" si="4"/>
        <v>70000</v>
      </c>
      <c r="AP52" s="125">
        <f>AI52*Valores!$C$72</f>
        <v>-92174.772579999961</v>
      </c>
      <c r="AQ52" s="125">
        <f>IF(AI52&lt;Valores!$E$73,-0.02,IF(AI52&lt;Valores!$F$73,-0.03,-0.04))*AI52</f>
        <v>-25138.574339999988</v>
      </c>
      <c r="AR52" s="125">
        <f>AI52*Valores!$C$75</f>
        <v>-46087.38628999998</v>
      </c>
      <c r="AS52" s="125">
        <f>Valores!$C$102</f>
        <v>-1270.1600000000001</v>
      </c>
      <c r="AT52" s="125">
        <f>IF($F$5=0,Valores!$C$103,(Valores!$C$103+$F$5*(Valores!$C$103)))</f>
        <v>-3700</v>
      </c>
      <c r="AU52" s="125">
        <f t="shared" si="6"/>
        <v>739581.58478999976</v>
      </c>
      <c r="AV52" s="125">
        <f t="shared" si="0"/>
        <v>-92174.772579999961</v>
      </c>
      <c r="AW52" s="125">
        <f t="shared" si="7"/>
        <v>-25138.574339999988</v>
      </c>
      <c r="AX52" s="125">
        <f>AI52*Valores!$C$76</f>
        <v>-22624.716905999991</v>
      </c>
      <c r="AY52" s="125">
        <f>AI52*Valores!$C$77</f>
        <v>-2513.8574339999991</v>
      </c>
      <c r="AZ52" s="125">
        <f t="shared" si="5"/>
        <v>765500.55673999968</v>
      </c>
      <c r="BA52" s="125">
        <f>AI52*Valores!$C$79</f>
        <v>134072.39647999994</v>
      </c>
      <c r="BB52" s="125">
        <f>AI52*Valores!$C$80</f>
        <v>58656.673459999984</v>
      </c>
      <c r="BC52" s="125">
        <f>AI52*Valores!$C$81</f>
        <v>8379.5247799999961</v>
      </c>
      <c r="BD52" s="125">
        <f>AI52*Valores!$C$83</f>
        <v>29328.336729999992</v>
      </c>
      <c r="BE52" s="125">
        <f>AI52*Valores!$C$85</f>
        <v>45249.433811999981</v>
      </c>
      <c r="BF52" s="125">
        <f>AI52*Valores!$C$84</f>
        <v>5027.7148679999982</v>
      </c>
      <c r="BG52" s="126"/>
      <c r="BH52" s="126"/>
      <c r="BI52" s="123" t="s">
        <v>4</v>
      </c>
    </row>
    <row r="53" spans="1:61" s="110" customFormat="1" ht="11.25" customHeight="1" x14ac:dyDescent="0.15">
      <c r="A53" s="123" t="s">
        <v>194</v>
      </c>
      <c r="B53" s="123">
        <v>1</v>
      </c>
      <c r="C53" s="126">
        <v>46</v>
      </c>
      <c r="D53" s="124" t="s">
        <v>195</v>
      </c>
      <c r="E53" s="192">
        <v>100</v>
      </c>
      <c r="F53" s="125">
        <f>ROUND(E53*Valores!$C$2,2)</f>
        <v>7759.67</v>
      </c>
      <c r="G53" s="192">
        <v>3560</v>
      </c>
      <c r="H53" s="125">
        <f>ROUND(G53*Valores!$C$2,2)</f>
        <v>276244.25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90594.64</v>
      </c>
      <c r="N53" s="125">
        <f t="shared" si="1"/>
        <v>0</v>
      </c>
      <c r="O53" s="125">
        <f>Valores!$C$9</f>
        <v>97503.47</v>
      </c>
      <c r="P53" s="125">
        <f>Valores!$D$5</f>
        <v>39667.43</v>
      </c>
      <c r="Q53" s="125">
        <v>0</v>
      </c>
      <c r="R53" s="125">
        <f>IF($F$4="NO",Valores!$C$48,Valores!$C$48/2)</f>
        <v>41465.839999999997</v>
      </c>
      <c r="S53" s="125">
        <f>Valores!$C$19</f>
        <v>36908.81</v>
      </c>
      <c r="T53" s="125">
        <f t="shared" si="8"/>
        <v>36908.81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Valores!$C$98</f>
        <v>108631.74</v>
      </c>
      <c r="AA53" s="125">
        <f>Valores!$C$25</f>
        <v>1622.32</v>
      </c>
      <c r="AB53" s="214">
        <v>0</v>
      </c>
      <c r="AC53" s="125">
        <f t="shared" si="2"/>
        <v>0</v>
      </c>
      <c r="AD53" s="125">
        <f>Valores!$C$26</f>
        <v>1622.32</v>
      </c>
      <c r="AE53" s="192">
        <v>0</v>
      </c>
      <c r="AF53" s="125">
        <f>ROUND(AE53*Valores!$C$2,2)</f>
        <v>0</v>
      </c>
      <c r="AG53" s="125">
        <f>ROUND(IF($F$4="NO",Valores!$C$64,Valores!$C$64/2),2)</f>
        <v>18547.32</v>
      </c>
      <c r="AH53" s="125">
        <f>SUM(F53,H53,J53,L53,M53,N53,O53,P53,Q53,R53,T53,U53,V53,X53,Y53,Z53,AA53,AC53,AD53,AF53,AG53)*Valores!$C$104</f>
        <v>72056.781000000003</v>
      </c>
      <c r="AI53" s="125">
        <f t="shared" si="3"/>
        <v>792624.5909999999</v>
      </c>
      <c r="AJ53" s="125">
        <f>Valores!$C$31</f>
        <v>35000</v>
      </c>
      <c r="AK53" s="125">
        <v>0</v>
      </c>
      <c r="AL53" s="125">
        <f>Valores!$C$91</f>
        <v>0</v>
      </c>
      <c r="AM53" s="125">
        <f>Valores!C$39*B53</f>
        <v>0</v>
      </c>
      <c r="AN53" s="125">
        <f>IF($F$3="NO",0,Valores!$C$57)</f>
        <v>0</v>
      </c>
      <c r="AO53" s="125">
        <f t="shared" si="4"/>
        <v>35000</v>
      </c>
      <c r="AP53" s="125">
        <f>AI53*Valores!$C$72</f>
        <v>-87188.705009999991</v>
      </c>
      <c r="AQ53" s="125">
        <f>IF(AI53&lt;Valores!$E$73,-0.02,IF(AI53&lt;Valores!$F$73,-0.03,-0.04))*AI53</f>
        <v>-23778.737729999997</v>
      </c>
      <c r="AR53" s="125">
        <f>AI53*Valores!$C$75</f>
        <v>-43594.352504999995</v>
      </c>
      <c r="AS53" s="125">
        <f>Valores!$C$102</f>
        <v>-1270.1600000000001</v>
      </c>
      <c r="AT53" s="125">
        <f>IF($F$5=0,Valores!$C$103,(Valores!$C$103+$F$5*(Valores!$C$103)))</f>
        <v>-3700</v>
      </c>
      <c r="AU53" s="125">
        <f t="shared" si="6"/>
        <v>668092.63575499994</v>
      </c>
      <c r="AV53" s="125">
        <f t="shared" si="0"/>
        <v>-87188.705009999991</v>
      </c>
      <c r="AW53" s="125">
        <f t="shared" si="7"/>
        <v>-23778.737729999997</v>
      </c>
      <c r="AX53" s="125">
        <f>AI53*Valores!$C$76</f>
        <v>-21400.863956999998</v>
      </c>
      <c r="AY53" s="125">
        <f>AI53*Valores!$C$77</f>
        <v>-2377.8737729999998</v>
      </c>
      <c r="AZ53" s="125">
        <f t="shared" si="5"/>
        <v>692878.41052999988</v>
      </c>
      <c r="BA53" s="125">
        <f>AI53*Valores!$C$79</f>
        <v>126819.93455999998</v>
      </c>
      <c r="BB53" s="125">
        <f>AI53*Valores!$C$80</f>
        <v>55483.721369999999</v>
      </c>
      <c r="BC53" s="125">
        <f>AI53*Valores!$C$81</f>
        <v>7926.2459099999987</v>
      </c>
      <c r="BD53" s="125">
        <f>AI53*Valores!$C$83</f>
        <v>27741.860685</v>
      </c>
      <c r="BE53" s="125">
        <f>AI53*Valores!$C$85</f>
        <v>42801.727913999996</v>
      </c>
      <c r="BF53" s="125">
        <f>AI53*Valores!$C$84</f>
        <v>4755.7475459999996</v>
      </c>
      <c r="BG53" s="126"/>
      <c r="BH53" s="126"/>
      <c r="BI53" s="123" t="s">
        <v>8</v>
      </c>
    </row>
    <row r="54" spans="1:61" s="110" customFormat="1" ht="11.25" customHeight="1" x14ac:dyDescent="0.15">
      <c r="A54" s="123" t="s">
        <v>196</v>
      </c>
      <c r="B54" s="123">
        <v>1</v>
      </c>
      <c r="C54" s="126">
        <v>47</v>
      </c>
      <c r="D54" s="124" t="s">
        <v>197</v>
      </c>
      <c r="E54" s="192">
        <v>100</v>
      </c>
      <c r="F54" s="125">
        <f>ROUND(E54*Valores!$C$2,2)</f>
        <v>7759.67</v>
      </c>
      <c r="G54" s="192">
        <v>3360</v>
      </c>
      <c r="H54" s="125">
        <f>ROUND(G54*Valores!$C$2,2)</f>
        <v>260724.91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86714.81</v>
      </c>
      <c r="N54" s="125">
        <f t="shared" si="1"/>
        <v>0</v>
      </c>
      <c r="O54" s="125">
        <f>Valores!$C$9</f>
        <v>97503.47</v>
      </c>
      <c r="P54" s="125">
        <f>Valores!$D$5</f>
        <v>39667.43</v>
      </c>
      <c r="Q54" s="125">
        <f>Valores!$C$22</f>
        <v>35387.42</v>
      </c>
      <c r="R54" s="125">
        <f>IF($F$4="NO",Valores!$C$48,Valores!$C$48/2)</f>
        <v>41465.839999999997</v>
      </c>
      <c r="S54" s="125">
        <f>Valores!$C$19</f>
        <v>36908.81</v>
      </c>
      <c r="T54" s="125">
        <f t="shared" si="8"/>
        <v>36908.81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Valores!$C$98</f>
        <v>108631.74</v>
      </c>
      <c r="AA54" s="125">
        <f>Valores!$C$25</f>
        <v>1622.32</v>
      </c>
      <c r="AB54" s="214">
        <v>0</v>
      </c>
      <c r="AC54" s="125">
        <f t="shared" si="2"/>
        <v>0</v>
      </c>
      <c r="AD54" s="125">
        <f>Valores!$C$26</f>
        <v>1622.32</v>
      </c>
      <c r="AE54" s="192">
        <v>0</v>
      </c>
      <c r="AF54" s="125">
        <f>ROUND(AE54*Valores!$C$2,2)</f>
        <v>0</v>
      </c>
      <c r="AG54" s="125">
        <f>ROUND(IF($F$4="NO",Valores!$C$64,Valores!$C$64/2),2)</f>
        <v>18547.32</v>
      </c>
      <c r="AH54" s="125">
        <f>SUM(F54,H54,J54,L54,M54,N54,O54,P54,Q54,R54,T54,U54,V54,X54,Y54,Z54,AA54,AC54,AD54,AF54,AG54)*Valores!$C$104</f>
        <v>73655.605999999971</v>
      </c>
      <c r="AI54" s="125">
        <f t="shared" si="3"/>
        <v>810211.66599999974</v>
      </c>
      <c r="AJ54" s="125">
        <f>Valores!$C$31</f>
        <v>35000</v>
      </c>
      <c r="AK54" s="125">
        <v>0</v>
      </c>
      <c r="AL54" s="125">
        <f>Valores!$C$91</f>
        <v>0</v>
      </c>
      <c r="AM54" s="125">
        <f>Valores!C$39*B54</f>
        <v>0</v>
      </c>
      <c r="AN54" s="125">
        <f>IF($F$3="NO",0,Valores!$C$57)</f>
        <v>0</v>
      </c>
      <c r="AO54" s="125">
        <f t="shared" si="4"/>
        <v>35000</v>
      </c>
      <c r="AP54" s="125">
        <f>AI54*Valores!$C$72</f>
        <v>-89123.283259999967</v>
      </c>
      <c r="AQ54" s="125">
        <f>IF(AI54&lt;Valores!$E$73,-0.02,IF(AI54&lt;Valores!$F$73,-0.03,-0.04))*AI54</f>
        <v>-24306.349979999992</v>
      </c>
      <c r="AR54" s="125">
        <f>AI54*Valores!$C$75</f>
        <v>-44561.641629999984</v>
      </c>
      <c r="AS54" s="125">
        <f>Valores!$C$102</f>
        <v>-1270.1600000000001</v>
      </c>
      <c r="AT54" s="125">
        <f>IF($F$5=0,Valores!$C$103,(Valores!$C$103+$F$5*(Valores!$C$103)))</f>
        <v>-3700</v>
      </c>
      <c r="AU54" s="125">
        <f t="shared" si="6"/>
        <v>682250.23112999974</v>
      </c>
      <c r="AV54" s="125">
        <f t="shared" si="0"/>
        <v>-89123.283259999967</v>
      </c>
      <c r="AW54" s="125">
        <f t="shared" si="7"/>
        <v>-24306.349979999992</v>
      </c>
      <c r="AX54" s="125">
        <f>AI54*Valores!$C$76</f>
        <v>-21875.714981999994</v>
      </c>
      <c r="AY54" s="125">
        <f>AI54*Valores!$C$77</f>
        <v>-2430.6349979999991</v>
      </c>
      <c r="AZ54" s="125">
        <f t="shared" si="5"/>
        <v>707475.6827799998</v>
      </c>
      <c r="BA54" s="125">
        <f>AI54*Valores!$C$79</f>
        <v>129633.86655999997</v>
      </c>
      <c r="BB54" s="125">
        <f>AI54*Valores!$C$80</f>
        <v>56714.816619999991</v>
      </c>
      <c r="BC54" s="125">
        <f>AI54*Valores!$C$81</f>
        <v>8102.1166599999979</v>
      </c>
      <c r="BD54" s="125">
        <f>AI54*Valores!$C$83</f>
        <v>28357.408309999995</v>
      </c>
      <c r="BE54" s="125">
        <f>AI54*Valores!$C$85</f>
        <v>43751.429963999988</v>
      </c>
      <c r="BF54" s="125">
        <f>AI54*Valores!$C$84</f>
        <v>4861.2699959999982</v>
      </c>
      <c r="BG54" s="126"/>
      <c r="BH54" s="126"/>
      <c r="BI54" s="123" t="s">
        <v>4</v>
      </c>
    </row>
    <row r="55" spans="1:61" s="110" customFormat="1" ht="11.25" customHeight="1" x14ac:dyDescent="0.15">
      <c r="A55" s="123" t="s">
        <v>198</v>
      </c>
      <c r="B55" s="123">
        <v>1</v>
      </c>
      <c r="C55" s="126">
        <v>48</v>
      </c>
      <c r="D55" s="124" t="s">
        <v>199</v>
      </c>
      <c r="E55" s="192">
        <v>98</v>
      </c>
      <c r="F55" s="125">
        <f>ROUND(E55*Valores!$C$2,2)</f>
        <v>7604.48</v>
      </c>
      <c r="G55" s="192">
        <v>2686</v>
      </c>
      <c r="H55" s="125">
        <f>ROUND(G55*Valores!$C$2,2)</f>
        <v>208424.74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70508.34</v>
      </c>
      <c r="N55" s="125">
        <f t="shared" si="1"/>
        <v>0</v>
      </c>
      <c r="O55" s="125">
        <f>Valores!$C$9</f>
        <v>97503.47</v>
      </c>
      <c r="P55" s="125">
        <f>Valores!$D$5</f>
        <v>39667.43</v>
      </c>
      <c r="Q55" s="125">
        <f>Valores!$C$22</f>
        <v>35387.42</v>
      </c>
      <c r="R55" s="125">
        <f>IF($F$4="NO",Valores!$C$46,Valores!$C$46/2)</f>
        <v>29095.32</v>
      </c>
      <c r="S55" s="125">
        <f>Valores!$C$19</f>
        <v>36908.81</v>
      </c>
      <c r="T55" s="125">
        <f t="shared" si="8"/>
        <v>36908.81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Valores!$C$97</f>
        <v>65179.040000000001</v>
      </c>
      <c r="AA55" s="125">
        <f>Valores!$C$25</f>
        <v>1622.32</v>
      </c>
      <c r="AB55" s="214">
        <v>0</v>
      </c>
      <c r="AC55" s="125">
        <f t="shared" si="2"/>
        <v>0</v>
      </c>
      <c r="AD55" s="125">
        <f>Valores!$C$26</f>
        <v>1622.32</v>
      </c>
      <c r="AE55" s="192">
        <v>0</v>
      </c>
      <c r="AF55" s="125">
        <f>ROUND(AE55*Valores!$C$2,2)</f>
        <v>0</v>
      </c>
      <c r="AG55" s="125">
        <f>ROUND(IF($F$4="NO",Valores!$C$64,Valores!$C$64/2),2)</f>
        <v>18547.32</v>
      </c>
      <c r="AH55" s="125">
        <f>SUM(F55,H55,J55,L55,M55,N55,O55,P55,Q55,R55,T55,U55,V55,X55,Y55,Z55,AA55,AC55,AD55,AF55,AG55)*Valores!$C$104</f>
        <v>61207.100999999995</v>
      </c>
      <c r="AI55" s="125">
        <f t="shared" si="3"/>
        <v>673278.11099999992</v>
      </c>
      <c r="AJ55" s="125">
        <f>Valores!$C$31</f>
        <v>35000</v>
      </c>
      <c r="AK55" s="125">
        <v>0</v>
      </c>
      <c r="AL55" s="125">
        <f>Valores!$C$90</f>
        <v>0</v>
      </c>
      <c r="AM55" s="125">
        <f>Valores!C$39*B55</f>
        <v>0</v>
      </c>
      <c r="AN55" s="125">
        <f>IF($F$3="NO",0,Valores!$C$57)</f>
        <v>0</v>
      </c>
      <c r="AO55" s="125">
        <f t="shared" si="4"/>
        <v>35000</v>
      </c>
      <c r="AP55" s="125">
        <f>AI55*Valores!$C$72</f>
        <v>-74060.592209999988</v>
      </c>
      <c r="AQ55" s="125">
        <f>IF(AI55&lt;Valores!$E$73,-0.02,IF(AI55&lt;Valores!$F$73,-0.03,-0.04))*AI55</f>
        <v>-13465.562219999998</v>
      </c>
      <c r="AR55" s="125">
        <f>AI55*Valores!$C$75</f>
        <v>-37030.296104999994</v>
      </c>
      <c r="AS55" s="125">
        <f>Valores!$C$102</f>
        <v>-1270.1600000000001</v>
      </c>
      <c r="AT55" s="125">
        <f>IF($F$5=0,Valores!$C$103,(Valores!$C$103+$F$5*(Valores!$C$103)))</f>
        <v>-3700</v>
      </c>
      <c r="AU55" s="125">
        <f t="shared" si="6"/>
        <v>578751.50046499993</v>
      </c>
      <c r="AV55" s="125">
        <f t="shared" si="0"/>
        <v>-74060.592209999988</v>
      </c>
      <c r="AW55" s="125">
        <f t="shared" si="7"/>
        <v>-13465.562219999998</v>
      </c>
      <c r="AX55" s="125">
        <f>AI55*Valores!$C$76</f>
        <v>-18178.508996999997</v>
      </c>
      <c r="AY55" s="125">
        <f>AI55*Valores!$C$77</f>
        <v>-2019.8343329999998</v>
      </c>
      <c r="AZ55" s="125">
        <f t="shared" si="5"/>
        <v>600553.61323999998</v>
      </c>
      <c r="BA55" s="125">
        <f>AI55*Valores!$C$79</f>
        <v>107724.49775999998</v>
      </c>
      <c r="BB55" s="125">
        <f>AI55*Valores!$C$80</f>
        <v>47129.467769999996</v>
      </c>
      <c r="BC55" s="125">
        <f>AI55*Valores!$C$81</f>
        <v>6732.781109999999</v>
      </c>
      <c r="BD55" s="125">
        <f>AI55*Valores!$C$83</f>
        <v>23564.733884999998</v>
      </c>
      <c r="BE55" s="125">
        <f>AI55*Valores!$C$85</f>
        <v>36357.017993999994</v>
      </c>
      <c r="BF55" s="125">
        <f>AI55*Valores!$C$84</f>
        <v>4039.6686659999996</v>
      </c>
      <c r="BG55" s="126"/>
      <c r="BH55" s="126">
        <v>30</v>
      </c>
      <c r="BI55" s="123" t="s">
        <v>4</v>
      </c>
    </row>
    <row r="56" spans="1:61" s="110" customFormat="1" ht="11.25" customHeight="1" x14ac:dyDescent="0.15">
      <c r="A56" s="123" t="s">
        <v>200</v>
      </c>
      <c r="B56" s="123">
        <v>1</v>
      </c>
      <c r="C56" s="126">
        <v>49</v>
      </c>
      <c r="D56" s="124" t="s">
        <v>201</v>
      </c>
      <c r="E56" s="192">
        <v>94</v>
      </c>
      <c r="F56" s="125">
        <f>ROUND(E56*Valores!$C$2,2)</f>
        <v>7294.09</v>
      </c>
      <c r="G56" s="192">
        <v>2690</v>
      </c>
      <c r="H56" s="125">
        <f>ROUND(G56*Valores!$C$2,2)</f>
        <v>208735.12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70508.34</v>
      </c>
      <c r="N56" s="125">
        <f t="shared" si="1"/>
        <v>0</v>
      </c>
      <c r="O56" s="125">
        <f>Valores!$C$9</f>
        <v>97503.47</v>
      </c>
      <c r="P56" s="125">
        <f>Valores!$D$5</f>
        <v>39667.43</v>
      </c>
      <c r="Q56" s="125">
        <f>Valores!$C$22</f>
        <v>35387.42</v>
      </c>
      <c r="R56" s="125">
        <f>IF($F$4="NO",Valores!$C$46,Valores!$C$46/2)</f>
        <v>29095.32</v>
      </c>
      <c r="S56" s="125">
        <f>Valores!$C$19</f>
        <v>36908.81</v>
      </c>
      <c r="T56" s="125">
        <f t="shared" si="8"/>
        <v>36908.81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Valores!$C$97</f>
        <v>65179.040000000001</v>
      </c>
      <c r="AA56" s="125">
        <f>Valores!$C$25</f>
        <v>1622.32</v>
      </c>
      <c r="AB56" s="214">
        <v>0</v>
      </c>
      <c r="AC56" s="125">
        <f t="shared" si="2"/>
        <v>0</v>
      </c>
      <c r="AD56" s="125">
        <f>Valores!$C$26</f>
        <v>1622.32</v>
      </c>
      <c r="AE56" s="192">
        <v>94</v>
      </c>
      <c r="AF56" s="125">
        <f>ROUND(AE56*Valores!$C$2,2)</f>
        <v>7294.09</v>
      </c>
      <c r="AG56" s="125">
        <f>ROUND(IF($F$4="NO",Valores!$C$64,Valores!$C$64/2),2)</f>
        <v>18547.32</v>
      </c>
      <c r="AH56" s="125">
        <f>SUM(F56,H56,J56,L56,M56,N56,O56,P56,Q56,R56,T56,U56,V56,X56,Y56,Z56,AA56,AC56,AD56,AF56,AG56)*Valores!$C$104</f>
        <v>61936.508999999991</v>
      </c>
      <c r="AI56" s="125">
        <f t="shared" si="3"/>
        <v>681301.59899999981</v>
      </c>
      <c r="AJ56" s="125">
        <f>Valores!$C$31</f>
        <v>35000</v>
      </c>
      <c r="AK56" s="125">
        <v>0</v>
      </c>
      <c r="AL56" s="125">
        <f>Valores!$C$90</f>
        <v>0</v>
      </c>
      <c r="AM56" s="125">
        <f>Valores!C$39*B56</f>
        <v>0</v>
      </c>
      <c r="AN56" s="125">
        <f>IF($F$3="NO",0,Valores!$C$57)</f>
        <v>0</v>
      </c>
      <c r="AO56" s="125">
        <f t="shared" si="4"/>
        <v>35000</v>
      </c>
      <c r="AP56" s="125">
        <f>AI56*Valores!$C$72</f>
        <v>-74943.175889999984</v>
      </c>
      <c r="AQ56" s="125">
        <f>IF(AI56&lt;Valores!$E$73,-0.02,IF(AI56&lt;Valores!$F$73,-0.03,-0.04))*AI56</f>
        <v>-13626.031979999996</v>
      </c>
      <c r="AR56" s="125">
        <f>AI56*Valores!$C$75</f>
        <v>-37471.587944999992</v>
      </c>
      <c r="AS56" s="125">
        <f>Valores!$C$102</f>
        <v>-1270.1600000000001</v>
      </c>
      <c r="AT56" s="125">
        <f>IF($F$5=0,Valores!$C$103,(Valores!$C$103+$F$5*(Valores!$C$103)))</f>
        <v>-3700</v>
      </c>
      <c r="AU56" s="125">
        <f t="shared" si="6"/>
        <v>585290.64318499982</v>
      </c>
      <c r="AV56" s="125">
        <f t="shared" si="0"/>
        <v>-74943.175889999984</v>
      </c>
      <c r="AW56" s="125">
        <f t="shared" si="7"/>
        <v>-13626.031979999996</v>
      </c>
      <c r="AX56" s="125">
        <f>AI56*Valores!$C$76</f>
        <v>-18395.143172999993</v>
      </c>
      <c r="AY56" s="125">
        <f>AI56*Valores!$C$77</f>
        <v>-2043.9047969999995</v>
      </c>
      <c r="AZ56" s="125">
        <f t="shared" si="5"/>
        <v>607293.34315999981</v>
      </c>
      <c r="BA56" s="125">
        <f>AI56*Valores!$C$79</f>
        <v>109008.25583999997</v>
      </c>
      <c r="BB56" s="125">
        <f>AI56*Valores!$C$80</f>
        <v>47691.111929999992</v>
      </c>
      <c r="BC56" s="125">
        <f>AI56*Valores!$C$81</f>
        <v>6813.0159899999981</v>
      </c>
      <c r="BD56" s="125">
        <f>AI56*Valores!$C$83</f>
        <v>23845.555964999996</v>
      </c>
      <c r="BE56" s="125">
        <f>AI56*Valores!$C$85</f>
        <v>36790.286345999986</v>
      </c>
      <c r="BF56" s="125">
        <f>AI56*Valores!$C$84</f>
        <v>4087.8095939999989</v>
      </c>
      <c r="BG56" s="126"/>
      <c r="BH56" s="126">
        <v>25</v>
      </c>
      <c r="BI56" s="123" t="s">
        <v>4</v>
      </c>
    </row>
    <row r="57" spans="1:61" s="110" customFormat="1" ht="11.25" customHeight="1" x14ac:dyDescent="0.15">
      <c r="A57" s="123" t="s">
        <v>202</v>
      </c>
      <c r="B57" s="123">
        <v>1</v>
      </c>
      <c r="C57" s="126">
        <v>50</v>
      </c>
      <c r="D57" s="124" t="s">
        <v>203</v>
      </c>
      <c r="E57" s="192">
        <v>93</v>
      </c>
      <c r="F57" s="125">
        <f>ROUND(E57*Valores!$C$2,2)</f>
        <v>7216.49</v>
      </c>
      <c r="G57" s="192">
        <v>2547</v>
      </c>
      <c r="H57" s="125">
        <f>ROUND(G57*Valores!$C$2,2)</f>
        <v>197638.79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67714.850000000006</v>
      </c>
      <c r="N57" s="125">
        <f t="shared" si="1"/>
        <v>0</v>
      </c>
      <c r="O57" s="125">
        <f>Valores!$C$9</f>
        <v>97503.47</v>
      </c>
      <c r="P57" s="125">
        <f>Valores!$D$5</f>
        <v>39667.43</v>
      </c>
      <c r="Q57" s="125">
        <f>Valores!$C$22</f>
        <v>35387.42</v>
      </c>
      <c r="R57" s="125">
        <f>IF($F$4="NO",Valores!$C$46,Valores!$C$46/2)</f>
        <v>29095.32</v>
      </c>
      <c r="S57" s="125">
        <f>Valores!$C$19</f>
        <v>36908.81</v>
      </c>
      <c r="T57" s="125">
        <f t="shared" si="8"/>
        <v>36908.81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Valores!$C$97</f>
        <v>65179.040000000001</v>
      </c>
      <c r="AA57" s="125">
        <f>Valores!$C$25</f>
        <v>1622.32</v>
      </c>
      <c r="AB57" s="214">
        <v>0</v>
      </c>
      <c r="AC57" s="125">
        <f t="shared" si="2"/>
        <v>0</v>
      </c>
      <c r="AD57" s="125">
        <f>Valores!$C$26</f>
        <v>1622.32</v>
      </c>
      <c r="AE57" s="192">
        <v>0</v>
      </c>
      <c r="AF57" s="125">
        <f>ROUND(AE57*Valores!$C$2,2)</f>
        <v>0</v>
      </c>
      <c r="AG57" s="125">
        <f>ROUND(IF($F$4="NO",Valores!$C$64,Valores!$C$64/2),2)</f>
        <v>18547.32</v>
      </c>
      <c r="AH57" s="125">
        <f>SUM(F57,H57,J57,L57,M57,N57,O57,P57,Q57,R57,T57,U57,V57,X57,Y57,Z57,AA57,AC57,AD57,AF57,AG57)*Valores!$C$104</f>
        <v>59810.357999999986</v>
      </c>
      <c r="AI57" s="125">
        <f t="shared" si="3"/>
        <v>657913.93799999985</v>
      </c>
      <c r="AJ57" s="125">
        <f>Valores!$C$31</f>
        <v>35000</v>
      </c>
      <c r="AK57" s="125">
        <v>0</v>
      </c>
      <c r="AL57" s="125">
        <f>Valores!$C$90</f>
        <v>0</v>
      </c>
      <c r="AM57" s="125">
        <f>Valores!C$39*B57</f>
        <v>0</v>
      </c>
      <c r="AN57" s="125">
        <f>IF($F$3="NO",0,Valores!$C$57)</f>
        <v>0</v>
      </c>
      <c r="AO57" s="125">
        <f t="shared" si="4"/>
        <v>35000</v>
      </c>
      <c r="AP57" s="125">
        <f>AI57*Valores!$C$72</f>
        <v>-72370.533179999984</v>
      </c>
      <c r="AQ57" s="125">
        <f>IF(AI57&lt;Valores!$E$73,-0.02,IF(AI57&lt;Valores!$F$73,-0.03,-0.04))*AI57</f>
        <v>-13158.278759999997</v>
      </c>
      <c r="AR57" s="125">
        <f>AI57*Valores!$C$75</f>
        <v>-36185.266589999992</v>
      </c>
      <c r="AS57" s="125">
        <f>Valores!$C$102</f>
        <v>-1270.1600000000001</v>
      </c>
      <c r="AT57" s="125">
        <f>IF($F$5=0,Valores!$C$103,(Valores!$C$103+$F$5*(Valores!$C$103)))</f>
        <v>-3700</v>
      </c>
      <c r="AU57" s="125">
        <f t="shared" si="6"/>
        <v>566229.69946999988</v>
      </c>
      <c r="AV57" s="125">
        <f t="shared" si="0"/>
        <v>-72370.533179999984</v>
      </c>
      <c r="AW57" s="125">
        <f t="shared" si="7"/>
        <v>-13158.278759999997</v>
      </c>
      <c r="AX57" s="125">
        <f>AI57*Valores!$C$76</f>
        <v>-17763.676325999997</v>
      </c>
      <c r="AY57" s="125">
        <f>AI57*Valores!$C$77</f>
        <v>-1973.7418139999995</v>
      </c>
      <c r="AZ57" s="125">
        <f t="shared" si="5"/>
        <v>587647.70791999984</v>
      </c>
      <c r="BA57" s="125">
        <f>AI57*Valores!$C$79</f>
        <v>105266.23007999998</v>
      </c>
      <c r="BB57" s="125">
        <f>AI57*Valores!$C$80</f>
        <v>46053.975659999996</v>
      </c>
      <c r="BC57" s="125">
        <f>AI57*Valores!$C$81</f>
        <v>6579.1393799999987</v>
      </c>
      <c r="BD57" s="125">
        <f>AI57*Valores!$C$83</f>
        <v>23026.987829999998</v>
      </c>
      <c r="BE57" s="125">
        <f>AI57*Valores!$C$85</f>
        <v>35527.352651999994</v>
      </c>
      <c r="BF57" s="125">
        <f>AI57*Valores!$C$84</f>
        <v>3947.483627999999</v>
      </c>
      <c r="BG57" s="126"/>
      <c r="BH57" s="126">
        <v>30</v>
      </c>
      <c r="BI57" s="123" t="s">
        <v>4</v>
      </c>
    </row>
    <row r="58" spans="1:61" s="110" customFormat="1" ht="11.25" customHeight="1" x14ac:dyDescent="0.15">
      <c r="A58" s="123" t="s">
        <v>204</v>
      </c>
      <c r="B58" s="123">
        <v>1</v>
      </c>
      <c r="C58" s="126">
        <v>51</v>
      </c>
      <c r="D58" s="124" t="s">
        <v>205</v>
      </c>
      <c r="E58" s="192">
        <v>89</v>
      </c>
      <c r="F58" s="125">
        <f>ROUND(E58*Valores!$C$2,2)</f>
        <v>6906.11</v>
      </c>
      <c r="G58" s="192">
        <v>2551</v>
      </c>
      <c r="H58" s="125">
        <f>ROUND(G58*Valores!$C$2,2)</f>
        <v>197949.18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67714.86</v>
      </c>
      <c r="N58" s="125">
        <f t="shared" si="1"/>
        <v>0</v>
      </c>
      <c r="O58" s="125">
        <f>Valores!$C$9</f>
        <v>97503.47</v>
      </c>
      <c r="P58" s="125">
        <f>Valores!$D$5</f>
        <v>39667.43</v>
      </c>
      <c r="Q58" s="125">
        <f>Valores!$C$22</f>
        <v>35387.42</v>
      </c>
      <c r="R58" s="125">
        <f>IF($F$4="NO",Valores!$C$46,Valores!$C$46/2)</f>
        <v>29095.32</v>
      </c>
      <c r="S58" s="125">
        <f>Valores!$C$19</f>
        <v>36908.81</v>
      </c>
      <c r="T58" s="125">
        <f t="shared" si="8"/>
        <v>36908.81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Valores!$C$97</f>
        <v>65179.040000000001</v>
      </c>
      <c r="AA58" s="125">
        <f>Valores!$C$25</f>
        <v>1622.32</v>
      </c>
      <c r="AB58" s="214">
        <v>0</v>
      </c>
      <c r="AC58" s="125">
        <f t="shared" si="2"/>
        <v>0</v>
      </c>
      <c r="AD58" s="125">
        <f>Valores!$C$26</f>
        <v>1622.32</v>
      </c>
      <c r="AE58" s="192">
        <v>94</v>
      </c>
      <c r="AF58" s="125">
        <f>ROUND(AE58*Valores!$C$2,2)</f>
        <v>7294.09</v>
      </c>
      <c r="AG58" s="125">
        <f>ROUND(IF($F$4="NO",Valores!$C$64,Valores!$C$64/2),2)</f>
        <v>18547.32</v>
      </c>
      <c r="AH58" s="125">
        <f>SUM(F58,H58,J58,L58,M58,N58,O58,P58,Q58,R58,T58,U58,V58,X58,Y58,Z58,AA58,AC58,AD58,AF58,AG58)*Valores!$C$104</f>
        <v>60539.768999999986</v>
      </c>
      <c r="AI58" s="125">
        <f t="shared" si="3"/>
        <v>665937.4589999998</v>
      </c>
      <c r="AJ58" s="125">
        <f>Valores!$C$31</f>
        <v>35000</v>
      </c>
      <c r="AK58" s="125">
        <v>0</v>
      </c>
      <c r="AL58" s="125">
        <f>Valores!$C$90</f>
        <v>0</v>
      </c>
      <c r="AM58" s="125">
        <f>Valores!C$39*B58</f>
        <v>0</v>
      </c>
      <c r="AN58" s="125">
        <f>IF($F$3="NO",0,Valores!$C$57)</f>
        <v>0</v>
      </c>
      <c r="AO58" s="125">
        <f t="shared" si="4"/>
        <v>35000</v>
      </c>
      <c r="AP58" s="125">
        <f>AI58*Valores!$C$72</f>
        <v>-73253.120489999972</v>
      </c>
      <c r="AQ58" s="125">
        <f>IF(AI58&lt;Valores!$E$73,-0.02,IF(AI58&lt;Valores!$F$73,-0.03,-0.04))*AI58</f>
        <v>-13318.749179999997</v>
      </c>
      <c r="AR58" s="125">
        <f>AI58*Valores!$C$75</f>
        <v>-36626.560244999986</v>
      </c>
      <c r="AS58" s="125">
        <f>Valores!$C$102</f>
        <v>-1270.1600000000001</v>
      </c>
      <c r="AT58" s="125">
        <f>IF($F$5=0,Valores!$C$103,(Valores!$C$103+$F$5*(Valores!$C$103)))</f>
        <v>-3700</v>
      </c>
      <c r="AU58" s="125">
        <f t="shared" si="6"/>
        <v>572768.8690849999</v>
      </c>
      <c r="AV58" s="125">
        <f t="shared" si="0"/>
        <v>-73253.120489999972</v>
      </c>
      <c r="AW58" s="125">
        <f t="shared" si="7"/>
        <v>-13318.749179999997</v>
      </c>
      <c r="AX58" s="125">
        <f>AI58*Valores!$C$76</f>
        <v>-17980.311392999993</v>
      </c>
      <c r="AY58" s="125">
        <f>AI58*Valores!$C$77</f>
        <v>-1997.8123769999995</v>
      </c>
      <c r="AZ58" s="125">
        <f t="shared" si="5"/>
        <v>594387.46555999981</v>
      </c>
      <c r="BA58" s="125">
        <f>AI58*Valores!$C$79</f>
        <v>106549.99343999998</v>
      </c>
      <c r="BB58" s="125">
        <f>AI58*Valores!$C$80</f>
        <v>46615.622129999989</v>
      </c>
      <c r="BC58" s="125">
        <f>AI58*Valores!$C$81</f>
        <v>6659.3745899999985</v>
      </c>
      <c r="BD58" s="125">
        <f>AI58*Valores!$C$83</f>
        <v>23307.811064999994</v>
      </c>
      <c r="BE58" s="125">
        <f>AI58*Valores!$C$85</f>
        <v>35960.622785999985</v>
      </c>
      <c r="BF58" s="125">
        <f>AI58*Valores!$C$84</f>
        <v>3995.624753999999</v>
      </c>
      <c r="BG58" s="126"/>
      <c r="BH58" s="126">
        <v>25</v>
      </c>
      <c r="BI58" s="123" t="s">
        <v>4</v>
      </c>
    </row>
    <row r="59" spans="1:61" s="110" customFormat="1" ht="11.25" customHeight="1" x14ac:dyDescent="0.15">
      <c r="A59" s="123" t="s">
        <v>206</v>
      </c>
      <c r="B59" s="123">
        <v>1</v>
      </c>
      <c r="C59" s="126">
        <v>52</v>
      </c>
      <c r="D59" s="124" t="s">
        <v>207</v>
      </c>
      <c r="E59" s="192">
        <v>89</v>
      </c>
      <c r="F59" s="125">
        <f>ROUND(E59*Valores!$C$2,2)</f>
        <v>6906.11</v>
      </c>
      <c r="G59" s="192">
        <v>2251</v>
      </c>
      <c r="H59" s="125">
        <f>ROUND(G59*Valores!$C$2,2)</f>
        <v>174670.17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61895.1</v>
      </c>
      <c r="N59" s="125">
        <f t="shared" si="1"/>
        <v>0</v>
      </c>
      <c r="O59" s="125">
        <f>Valores!$C$9</f>
        <v>97503.47</v>
      </c>
      <c r="P59" s="125">
        <f>Valores!$D$5</f>
        <v>39667.43</v>
      </c>
      <c r="Q59" s="125">
        <f>Valores!$C$22</f>
        <v>35387.42</v>
      </c>
      <c r="R59" s="125">
        <f>IF($F$4="NO",Valores!$C$46,Valores!$C$46/2)</f>
        <v>29095.32</v>
      </c>
      <c r="S59" s="125">
        <f>Valores!$C$19</f>
        <v>36908.81</v>
      </c>
      <c r="T59" s="125">
        <f t="shared" si="8"/>
        <v>36908.81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Valores!$C$97</f>
        <v>65179.040000000001</v>
      </c>
      <c r="AA59" s="125">
        <f>Valores!$C$25</f>
        <v>1622.32</v>
      </c>
      <c r="AB59" s="214">
        <v>0</v>
      </c>
      <c r="AC59" s="125">
        <f t="shared" si="2"/>
        <v>0</v>
      </c>
      <c r="AD59" s="125">
        <f>Valores!$C$26</f>
        <v>1622.32</v>
      </c>
      <c r="AE59" s="192">
        <v>0</v>
      </c>
      <c r="AF59" s="125">
        <f>ROUND(AE59*Valores!$C$2,2)</f>
        <v>0</v>
      </c>
      <c r="AG59" s="125">
        <f>ROUND(IF($F$4="NO",Valores!$C$64,Valores!$C$64/2),2)</f>
        <v>18547.32</v>
      </c>
      <c r="AH59" s="125">
        <f>SUM(F59,H59,J59,L59,M59,N59,O59,P59,Q59,R59,T59,U59,V59,X59,Y59,Z59,AA59,AC59,AD59,AF59,AG59)*Valores!$C$104</f>
        <v>56900.482999999986</v>
      </c>
      <c r="AI59" s="125">
        <f t="shared" si="3"/>
        <v>625905.31299999985</v>
      </c>
      <c r="AJ59" s="125">
        <f>Valores!$C$31</f>
        <v>35000</v>
      </c>
      <c r="AK59" s="125">
        <v>0</v>
      </c>
      <c r="AL59" s="125">
        <f>Valores!$C$90</f>
        <v>0</v>
      </c>
      <c r="AM59" s="125">
        <f>Valores!C$39*B59</f>
        <v>0</v>
      </c>
      <c r="AN59" s="125">
        <f>IF($F$3="NO",0,Valores!$C$57)</f>
        <v>0</v>
      </c>
      <c r="AO59" s="125">
        <f t="shared" si="4"/>
        <v>35000</v>
      </c>
      <c r="AP59" s="125">
        <f>AI59*Valores!$C$72</f>
        <v>-68849.584429999988</v>
      </c>
      <c r="AQ59" s="125">
        <f>IF(AI59&lt;Valores!$E$73,-0.02,IF(AI59&lt;Valores!$F$73,-0.03,-0.04))*AI59</f>
        <v>-12518.106259999997</v>
      </c>
      <c r="AR59" s="125">
        <f>AI59*Valores!$C$75</f>
        <v>-34424.792214999994</v>
      </c>
      <c r="AS59" s="125">
        <f>Valores!$C$102</f>
        <v>-1270.1600000000001</v>
      </c>
      <c r="AT59" s="125">
        <f>IF($F$5=0,Valores!$C$103,(Valores!$C$103+$F$5*(Valores!$C$103)))</f>
        <v>-3700</v>
      </c>
      <c r="AU59" s="125">
        <f t="shared" si="6"/>
        <v>540142.67009499983</v>
      </c>
      <c r="AV59" s="125">
        <f t="shared" si="0"/>
        <v>-68849.584429999988</v>
      </c>
      <c r="AW59" s="125">
        <f t="shared" si="7"/>
        <v>-12518.106259999997</v>
      </c>
      <c r="AX59" s="125">
        <f>AI59*Valores!$C$76</f>
        <v>-16899.443450999996</v>
      </c>
      <c r="AY59" s="125">
        <f>AI59*Valores!$C$77</f>
        <v>-1877.7159389999995</v>
      </c>
      <c r="AZ59" s="125">
        <f t="shared" si="5"/>
        <v>560760.46291999985</v>
      </c>
      <c r="BA59" s="125">
        <f>AI59*Valores!$C$79</f>
        <v>100144.85007999997</v>
      </c>
      <c r="BB59" s="125">
        <f>AI59*Valores!$C$80</f>
        <v>43813.371909999994</v>
      </c>
      <c r="BC59" s="125">
        <f>AI59*Valores!$C$81</f>
        <v>6259.0531299999984</v>
      </c>
      <c r="BD59" s="125">
        <f>AI59*Valores!$C$83</f>
        <v>21906.685954999997</v>
      </c>
      <c r="BE59" s="125">
        <f>AI59*Valores!$C$85</f>
        <v>33798.886901999991</v>
      </c>
      <c r="BF59" s="125">
        <f>AI59*Valores!$C$84</f>
        <v>3755.431877999999</v>
      </c>
      <c r="BG59" s="126"/>
      <c r="BH59" s="126">
        <v>30</v>
      </c>
      <c r="BI59" s="123" t="s">
        <v>4</v>
      </c>
    </row>
    <row r="60" spans="1:61" s="110" customFormat="1" ht="11.25" customHeight="1" x14ac:dyDescent="0.15">
      <c r="A60" s="123" t="s">
        <v>208</v>
      </c>
      <c r="B60" s="123">
        <v>1</v>
      </c>
      <c r="C60" s="126">
        <v>53</v>
      </c>
      <c r="D60" s="124" t="s">
        <v>209</v>
      </c>
      <c r="E60" s="192">
        <v>85</v>
      </c>
      <c r="F60" s="125">
        <f>ROUND(E60*Valores!$C$2,2)</f>
        <v>6595.72</v>
      </c>
      <c r="G60" s="192">
        <v>2255</v>
      </c>
      <c r="H60" s="125">
        <f>ROUND(G60*Valores!$C$2,2)</f>
        <v>174980.56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61895.1</v>
      </c>
      <c r="N60" s="125">
        <f t="shared" si="1"/>
        <v>0</v>
      </c>
      <c r="O60" s="125">
        <f>Valores!$C$9</f>
        <v>97503.47</v>
      </c>
      <c r="P60" s="125">
        <f>Valores!$D$5</f>
        <v>39667.43</v>
      </c>
      <c r="Q60" s="125">
        <f>Valores!$C$22</f>
        <v>35387.42</v>
      </c>
      <c r="R60" s="125">
        <f>IF($F$4="NO",Valores!$C$46,Valores!$C$46/2)</f>
        <v>29095.32</v>
      </c>
      <c r="S60" s="125">
        <f>Valores!$C$19</f>
        <v>36908.81</v>
      </c>
      <c r="T60" s="125">
        <f t="shared" si="8"/>
        <v>36908.81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Valores!$C$97</f>
        <v>65179.040000000001</v>
      </c>
      <c r="AA60" s="125">
        <f>Valores!$C$25</f>
        <v>1622.32</v>
      </c>
      <c r="AB60" s="214">
        <v>0</v>
      </c>
      <c r="AC60" s="125">
        <f t="shared" si="2"/>
        <v>0</v>
      </c>
      <c r="AD60" s="125">
        <f>Valores!$C$26</f>
        <v>1622.32</v>
      </c>
      <c r="AE60" s="192">
        <v>94</v>
      </c>
      <c r="AF60" s="125">
        <f>ROUND(AE60*Valores!$C$2,2)</f>
        <v>7294.09</v>
      </c>
      <c r="AG60" s="125">
        <f>ROUND(IF($F$4="NO",Valores!$C$64,Valores!$C$64/2),2)</f>
        <v>18547.32</v>
      </c>
      <c r="AH60" s="125">
        <f>SUM(F60,H60,J60,L60,M60,N60,O60,P60,Q60,R60,T60,U60,V60,X60,Y60,Z60,AA60,AC60,AD60,AF60,AG60)*Valores!$C$104</f>
        <v>57629.891999999985</v>
      </c>
      <c r="AI60" s="125">
        <f t="shared" si="3"/>
        <v>633928.8119999998</v>
      </c>
      <c r="AJ60" s="125">
        <f>Valores!$C$31</f>
        <v>35000</v>
      </c>
      <c r="AK60" s="125">
        <v>0</v>
      </c>
      <c r="AL60" s="125">
        <f>Valores!$C$90</f>
        <v>0</v>
      </c>
      <c r="AM60" s="125">
        <f>Valores!C$39*B60</f>
        <v>0</v>
      </c>
      <c r="AN60" s="125">
        <f>IF($F$3="NO",0,Valores!$C$57)</f>
        <v>0</v>
      </c>
      <c r="AO60" s="125">
        <f t="shared" si="4"/>
        <v>35000</v>
      </c>
      <c r="AP60" s="125">
        <f>AI60*Valores!$C$72</f>
        <v>-69732.169319999972</v>
      </c>
      <c r="AQ60" s="125">
        <f>IF(AI60&lt;Valores!$E$73,-0.02,IF(AI60&lt;Valores!$F$73,-0.03,-0.04))*AI60</f>
        <v>-12678.576239999997</v>
      </c>
      <c r="AR60" s="125">
        <f>AI60*Valores!$C$75</f>
        <v>-34866.084659999986</v>
      </c>
      <c r="AS60" s="125">
        <f>Valores!$C$102</f>
        <v>-1270.1600000000001</v>
      </c>
      <c r="AT60" s="125">
        <f>IF($F$5=0,Valores!$C$103,(Valores!$C$103+$F$5*(Valores!$C$103)))</f>
        <v>-3700</v>
      </c>
      <c r="AU60" s="125">
        <f t="shared" si="6"/>
        <v>546681.82177999988</v>
      </c>
      <c r="AV60" s="125">
        <f t="shared" si="0"/>
        <v>-69732.169319999972</v>
      </c>
      <c r="AW60" s="125">
        <f t="shared" si="7"/>
        <v>-12678.576239999997</v>
      </c>
      <c r="AX60" s="125">
        <f>AI60*Valores!$C$76</f>
        <v>-17116.077923999994</v>
      </c>
      <c r="AY60" s="125">
        <f>AI60*Valores!$C$77</f>
        <v>-1901.7864359999994</v>
      </c>
      <c r="AZ60" s="125">
        <f t="shared" si="5"/>
        <v>567500.20207999984</v>
      </c>
      <c r="BA60" s="125">
        <f>AI60*Valores!$C$79</f>
        <v>101428.60991999997</v>
      </c>
      <c r="BB60" s="125">
        <f>AI60*Valores!$C$80</f>
        <v>44375.016839999989</v>
      </c>
      <c r="BC60" s="125">
        <f>AI60*Valores!$C$81</f>
        <v>6339.2881199999983</v>
      </c>
      <c r="BD60" s="125">
        <f>AI60*Valores!$C$83</f>
        <v>22187.508419999995</v>
      </c>
      <c r="BE60" s="125">
        <f>AI60*Valores!$C$85</f>
        <v>34232.155847999988</v>
      </c>
      <c r="BF60" s="125">
        <f>AI60*Valores!$C$84</f>
        <v>3803.5728719999988</v>
      </c>
      <c r="BG60" s="126"/>
      <c r="BH60" s="126">
        <v>25</v>
      </c>
      <c r="BI60" s="123" t="s">
        <v>4</v>
      </c>
    </row>
    <row r="61" spans="1:61" s="110" customFormat="1" ht="11.25" customHeight="1" x14ac:dyDescent="0.15">
      <c r="A61" s="123" t="s">
        <v>210</v>
      </c>
      <c r="B61" s="123">
        <v>1</v>
      </c>
      <c r="C61" s="126">
        <v>54</v>
      </c>
      <c r="D61" s="124" t="s">
        <v>211</v>
      </c>
      <c r="E61" s="192">
        <v>100</v>
      </c>
      <c r="F61" s="125">
        <f>ROUND(E61*Valores!$C$2,2)</f>
        <v>7759.67</v>
      </c>
      <c r="G61" s="192">
        <v>3180</v>
      </c>
      <c r="H61" s="125">
        <f>ROUND(G61*Valores!$C$2,2)</f>
        <v>246757.51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81682.460000000006</v>
      </c>
      <c r="N61" s="125">
        <f t="shared" si="1"/>
        <v>0</v>
      </c>
      <c r="O61" s="125">
        <f>Valores!$C$9</f>
        <v>97503.47</v>
      </c>
      <c r="P61" s="125">
        <f>Valores!$D$5</f>
        <v>39667.43</v>
      </c>
      <c r="Q61" s="125">
        <f>Valores!$C$22</f>
        <v>35387.42</v>
      </c>
      <c r="R61" s="125">
        <f>IF($F$4="NO",Valores!$C$49,Valores!$C$49/2)</f>
        <v>35303.83</v>
      </c>
      <c r="S61" s="125">
        <f>Valores!$C$19</f>
        <v>36908.81</v>
      </c>
      <c r="T61" s="125">
        <f t="shared" si="8"/>
        <v>36908.81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Valores!$C$97</f>
        <v>65179.040000000001</v>
      </c>
      <c r="AA61" s="125">
        <f>Valores!$C$25</f>
        <v>1622.32</v>
      </c>
      <c r="AB61" s="214">
        <v>0</v>
      </c>
      <c r="AC61" s="125">
        <f t="shared" si="2"/>
        <v>0</v>
      </c>
      <c r="AD61" s="125">
        <f>Valores!$C$26</f>
        <v>1622.32</v>
      </c>
      <c r="AE61" s="192">
        <v>0</v>
      </c>
      <c r="AF61" s="125">
        <f>ROUND(AE61*Valores!$C$2,2)</f>
        <v>0</v>
      </c>
      <c r="AG61" s="125">
        <f>ROUND(IF($F$4="NO",Valores!$C$64,Valores!$C$64/2),2)</f>
        <v>18547.32</v>
      </c>
      <c r="AH61" s="125">
        <f>SUM(F61,H61,J61,L61,M61,N61,O61,P61,Q61,R61,T61,U61,V61,X61,Y61,Z61,AA61,AC61,AD61,AF61,AG61)*Valores!$C$104</f>
        <v>66794.159999999974</v>
      </c>
      <c r="AI61" s="125">
        <f t="shared" si="3"/>
        <v>734735.75999999978</v>
      </c>
      <c r="AJ61" s="125">
        <f>Valores!$C$32</f>
        <v>70000</v>
      </c>
      <c r="AK61" s="125">
        <v>0</v>
      </c>
      <c r="AL61" s="125">
        <f>Valores!$C$90</f>
        <v>0</v>
      </c>
      <c r="AM61" s="125">
        <f>Valores!C$39*B61</f>
        <v>0</v>
      </c>
      <c r="AN61" s="125">
        <f>IF($F$3="NO",0,Valores!$C$57)</f>
        <v>0</v>
      </c>
      <c r="AO61" s="125">
        <f t="shared" si="4"/>
        <v>70000</v>
      </c>
      <c r="AP61" s="125">
        <f>AI61*Valores!$C$72</f>
        <v>-80820.933599999975</v>
      </c>
      <c r="AQ61" s="125">
        <f>IF(AI61&lt;Valores!$E$73,-0.02,IF(AI61&lt;Valores!$F$73,-0.03,-0.04))*AI61</f>
        <v>-14694.715199999995</v>
      </c>
      <c r="AR61" s="125">
        <f>AI61*Valores!$C$75</f>
        <v>-40410.466799999987</v>
      </c>
      <c r="AS61" s="125">
        <f>Valores!$C$102</f>
        <v>-1270.1600000000001</v>
      </c>
      <c r="AT61" s="125">
        <f>IF($F$5=0,Valores!$C$103,(Valores!$C$103+$F$5*(Valores!$C$103)))</f>
        <v>-3700</v>
      </c>
      <c r="AU61" s="125">
        <f t="shared" si="6"/>
        <v>663839.48439999984</v>
      </c>
      <c r="AV61" s="125">
        <f t="shared" si="0"/>
        <v>-80820.933599999975</v>
      </c>
      <c r="AW61" s="125">
        <f t="shared" si="7"/>
        <v>-14694.715199999995</v>
      </c>
      <c r="AX61" s="125">
        <f>AI61*Valores!$C$76</f>
        <v>-19837.865519999992</v>
      </c>
      <c r="AY61" s="125">
        <f>AI61*Valores!$C$77</f>
        <v>-2204.2072799999992</v>
      </c>
      <c r="AZ61" s="125">
        <f t="shared" si="5"/>
        <v>687178.03839999984</v>
      </c>
      <c r="BA61" s="125">
        <f>AI61*Valores!$C$79</f>
        <v>117557.72159999996</v>
      </c>
      <c r="BB61" s="125">
        <f>AI61*Valores!$C$80</f>
        <v>51431.503199999992</v>
      </c>
      <c r="BC61" s="125">
        <f>AI61*Valores!$C$81</f>
        <v>7347.3575999999975</v>
      </c>
      <c r="BD61" s="125">
        <f>AI61*Valores!$C$83</f>
        <v>25715.751599999996</v>
      </c>
      <c r="BE61" s="125">
        <f>AI61*Valores!$C$85</f>
        <v>39675.731039999984</v>
      </c>
      <c r="BF61" s="125">
        <f>AI61*Valores!$C$84</f>
        <v>4408.4145599999983</v>
      </c>
      <c r="BG61" s="126"/>
      <c r="BH61" s="126"/>
      <c r="BI61" s="123" t="s">
        <v>4</v>
      </c>
    </row>
    <row r="62" spans="1:61" s="110" customFormat="1" ht="11.25" customHeight="1" x14ac:dyDescent="0.15">
      <c r="A62" s="123" t="s">
        <v>212</v>
      </c>
      <c r="B62" s="123">
        <v>1</v>
      </c>
      <c r="C62" s="126">
        <v>55</v>
      </c>
      <c r="D62" s="124" t="s">
        <v>213</v>
      </c>
      <c r="E62" s="192">
        <v>83</v>
      </c>
      <c r="F62" s="125">
        <f>ROUND(E62*Valores!$C$2,2)</f>
        <v>6440.53</v>
      </c>
      <c r="G62" s="192">
        <v>2352</v>
      </c>
      <c r="H62" s="125">
        <f>ROUND(G62*Valores!$C$2,2)</f>
        <v>182507.44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63738.03</v>
      </c>
      <c r="N62" s="125">
        <f t="shared" si="1"/>
        <v>0</v>
      </c>
      <c r="O62" s="125">
        <f>Valores!$C$9</f>
        <v>97503.47</v>
      </c>
      <c r="P62" s="125">
        <f>Valores!$D$5</f>
        <v>39667.43</v>
      </c>
      <c r="Q62" s="125">
        <f>Valores!$C$22</f>
        <v>35387.42</v>
      </c>
      <c r="R62" s="125">
        <f>IF($F$4="NO",Valores!$C$46,Valores!$C$46/2)</f>
        <v>29095.32</v>
      </c>
      <c r="S62" s="125">
        <f>Valores!$C$19</f>
        <v>36908.81</v>
      </c>
      <c r="T62" s="125">
        <f t="shared" si="8"/>
        <v>36908.81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Valores!$C$97</f>
        <v>65179.040000000001</v>
      </c>
      <c r="AA62" s="125">
        <f>Valores!$C$25</f>
        <v>1622.32</v>
      </c>
      <c r="AB62" s="214">
        <v>0</v>
      </c>
      <c r="AC62" s="125">
        <f t="shared" si="2"/>
        <v>0</v>
      </c>
      <c r="AD62" s="125">
        <f>Valores!$C$26</f>
        <v>1622.32</v>
      </c>
      <c r="AE62" s="192">
        <v>0</v>
      </c>
      <c r="AF62" s="125">
        <f>ROUND(AE62*Valores!$C$2,2)</f>
        <v>0</v>
      </c>
      <c r="AG62" s="125">
        <f>ROUND(IF($F$4="NO",Valores!$C$64,Valores!$C$64/2),2)</f>
        <v>18547.32</v>
      </c>
      <c r="AH62" s="125">
        <f>SUM(F62,H62,J62,L62,M62,N62,O62,P62,Q62,R62,T62,U62,V62,X62,Y62,Z62,AA62,AC62,AD62,AF62,AG62)*Valores!$C$104</f>
        <v>57821.944999999985</v>
      </c>
      <c r="AI62" s="125">
        <f t="shared" si="3"/>
        <v>636041.39499999979</v>
      </c>
      <c r="AJ62" s="125">
        <f>Valores!$C$31</f>
        <v>35000</v>
      </c>
      <c r="AK62" s="125">
        <v>0</v>
      </c>
      <c r="AL62" s="125">
        <f>Valores!$C$90</f>
        <v>0</v>
      </c>
      <c r="AM62" s="125">
        <f>Valores!C$39*B62</f>
        <v>0</v>
      </c>
      <c r="AN62" s="125">
        <f>IF($F$3="NO",0,Valores!$C$57)</f>
        <v>0</v>
      </c>
      <c r="AO62" s="125">
        <f t="shared" si="4"/>
        <v>35000</v>
      </c>
      <c r="AP62" s="125">
        <f>AI62*Valores!$C$72</f>
        <v>-69964.553449999978</v>
      </c>
      <c r="AQ62" s="125">
        <f>IF(AI62&lt;Valores!$E$73,-0.02,IF(AI62&lt;Valores!$F$73,-0.03,-0.04))*AI62</f>
        <v>-12720.827899999997</v>
      </c>
      <c r="AR62" s="125">
        <f>AI62*Valores!$C$75</f>
        <v>-34982.276724999989</v>
      </c>
      <c r="AS62" s="125">
        <f>Valores!$C$102</f>
        <v>-1270.1600000000001</v>
      </c>
      <c r="AT62" s="125">
        <f>IF($F$5=0,Valores!$C$103,(Valores!$C$103+$F$5*(Valores!$C$103)))</f>
        <v>-3700</v>
      </c>
      <c r="AU62" s="125">
        <f t="shared" si="6"/>
        <v>548403.57692499983</v>
      </c>
      <c r="AV62" s="125">
        <f t="shared" si="0"/>
        <v>-69964.553449999978</v>
      </c>
      <c r="AW62" s="125">
        <f t="shared" si="7"/>
        <v>-12720.827899999997</v>
      </c>
      <c r="AX62" s="125">
        <f>AI62*Valores!$C$76</f>
        <v>-17173.117664999994</v>
      </c>
      <c r="AY62" s="125">
        <f>AI62*Valores!$C$77</f>
        <v>-1908.1241849999994</v>
      </c>
      <c r="AZ62" s="125">
        <f t="shared" si="5"/>
        <v>569274.77179999975</v>
      </c>
      <c r="BA62" s="125">
        <f>AI62*Valores!$C$79</f>
        <v>101766.62319999997</v>
      </c>
      <c r="BB62" s="125">
        <f>AI62*Valores!$C$80</f>
        <v>44522.897649999992</v>
      </c>
      <c r="BC62" s="125">
        <f>AI62*Valores!$C$81</f>
        <v>6360.4139499999983</v>
      </c>
      <c r="BD62" s="125">
        <f>AI62*Valores!$C$83</f>
        <v>22261.448824999996</v>
      </c>
      <c r="BE62" s="125">
        <f>AI62*Valores!$C$85</f>
        <v>34346.235329999989</v>
      </c>
      <c r="BF62" s="125">
        <f>AI62*Valores!$C$84</f>
        <v>3816.2483699999989</v>
      </c>
      <c r="BG62" s="126"/>
      <c r="BH62" s="126">
        <v>30</v>
      </c>
      <c r="BI62" s="123" t="s">
        <v>4</v>
      </c>
    </row>
    <row r="63" spans="1:61" s="110" customFormat="1" ht="11.25" customHeight="1" x14ac:dyDescent="0.15">
      <c r="A63" s="123" t="s">
        <v>214</v>
      </c>
      <c r="B63" s="123">
        <v>1</v>
      </c>
      <c r="C63" s="126">
        <v>56</v>
      </c>
      <c r="D63" s="124" t="s">
        <v>215</v>
      </c>
      <c r="E63" s="192">
        <v>81</v>
      </c>
      <c r="F63" s="125">
        <f>ROUND(E63*Valores!$C$2,2)</f>
        <v>6285.33</v>
      </c>
      <c r="G63" s="192">
        <v>2354</v>
      </c>
      <c r="H63" s="125">
        <f>ROUND(G63*Valores!$C$2,2)</f>
        <v>182662.63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63738.02</v>
      </c>
      <c r="N63" s="125">
        <f t="shared" si="1"/>
        <v>0</v>
      </c>
      <c r="O63" s="125">
        <f>Valores!$C$9</f>
        <v>97503.47</v>
      </c>
      <c r="P63" s="125">
        <f>Valores!$D$5</f>
        <v>39667.43</v>
      </c>
      <c r="Q63" s="125">
        <f>Valores!$C$22</f>
        <v>35387.42</v>
      </c>
      <c r="R63" s="125">
        <f>IF($F$4="NO",Valores!$C$46,Valores!$C$46/2)</f>
        <v>29095.32</v>
      </c>
      <c r="S63" s="125">
        <f>Valores!$C$19</f>
        <v>36908.81</v>
      </c>
      <c r="T63" s="125">
        <f t="shared" si="8"/>
        <v>36908.81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Valores!$C$97</f>
        <v>65179.040000000001</v>
      </c>
      <c r="AA63" s="125">
        <f>Valores!$C$25</f>
        <v>1622.32</v>
      </c>
      <c r="AB63" s="214">
        <v>0</v>
      </c>
      <c r="AC63" s="125">
        <f t="shared" si="2"/>
        <v>0</v>
      </c>
      <c r="AD63" s="125">
        <f>Valores!$C$26</f>
        <v>1622.32</v>
      </c>
      <c r="AE63" s="192">
        <v>94</v>
      </c>
      <c r="AF63" s="125">
        <f>ROUND(AE63*Valores!$C$2,2)</f>
        <v>7294.09</v>
      </c>
      <c r="AG63" s="125">
        <f>ROUND(IF($F$4="NO",Valores!$C$64,Valores!$C$64/2),2)</f>
        <v>18547.32</v>
      </c>
      <c r="AH63" s="125">
        <f>SUM(F63,H63,J63,L63,M63,N63,O63,P63,Q63,R63,T63,U63,V63,X63,Y63,Z63,AA63,AC63,AD63,AF63,AG63)*Valores!$C$104</f>
        <v>58551.351999999984</v>
      </c>
      <c r="AI63" s="125">
        <f t="shared" si="3"/>
        <v>644064.87199999974</v>
      </c>
      <c r="AJ63" s="125">
        <f>Valores!$C$31</f>
        <v>35000</v>
      </c>
      <c r="AK63" s="125">
        <v>0</v>
      </c>
      <c r="AL63" s="125">
        <f>Valores!$C$90</f>
        <v>0</v>
      </c>
      <c r="AM63" s="125">
        <f>Valores!C$39*B63</f>
        <v>0</v>
      </c>
      <c r="AN63" s="125">
        <f>IF($F$3="NO",0,Valores!$C$57)</f>
        <v>0</v>
      </c>
      <c r="AO63" s="125">
        <f t="shared" si="4"/>
        <v>35000</v>
      </c>
      <c r="AP63" s="125">
        <f>AI63*Valores!$C$72</f>
        <v>-70847.135919999972</v>
      </c>
      <c r="AQ63" s="125">
        <f>IF(AI63&lt;Valores!$E$73,-0.02,IF(AI63&lt;Valores!$F$73,-0.03,-0.04))*AI63</f>
        <v>-12881.297439999995</v>
      </c>
      <c r="AR63" s="125">
        <f>AI63*Valores!$C$75</f>
        <v>-35423.567959999986</v>
      </c>
      <c r="AS63" s="125">
        <f>Valores!$C$102</f>
        <v>-1270.1600000000001</v>
      </c>
      <c r="AT63" s="125">
        <f>IF($F$5=0,Valores!$C$103,(Valores!$C$103+$F$5*(Valores!$C$103)))</f>
        <v>-3700</v>
      </c>
      <c r="AU63" s="125">
        <f t="shared" si="6"/>
        <v>554942.71067999979</v>
      </c>
      <c r="AV63" s="125">
        <f t="shared" si="0"/>
        <v>-70847.135919999972</v>
      </c>
      <c r="AW63" s="125">
        <f t="shared" si="7"/>
        <v>-12881.297439999995</v>
      </c>
      <c r="AX63" s="125">
        <f>AI63*Valores!$C$76</f>
        <v>-17389.751543999992</v>
      </c>
      <c r="AY63" s="125">
        <f>AI63*Valores!$C$77</f>
        <v>-1932.1946159999993</v>
      </c>
      <c r="AZ63" s="125">
        <f t="shared" si="5"/>
        <v>576014.49247999978</v>
      </c>
      <c r="BA63" s="125">
        <f>AI63*Valores!$C$79</f>
        <v>103050.37951999996</v>
      </c>
      <c r="BB63" s="125">
        <f>AI63*Valores!$C$80</f>
        <v>45084.541039999989</v>
      </c>
      <c r="BC63" s="125">
        <f>AI63*Valores!$C$81</f>
        <v>6440.6487199999974</v>
      </c>
      <c r="BD63" s="125">
        <f>AI63*Valores!$C$83</f>
        <v>22542.270519999995</v>
      </c>
      <c r="BE63" s="125">
        <f>AI63*Valores!$C$85</f>
        <v>34779.503087999983</v>
      </c>
      <c r="BF63" s="125">
        <f>AI63*Valores!$C$84</f>
        <v>3864.3892319999986</v>
      </c>
      <c r="BG63" s="126"/>
      <c r="BH63" s="126">
        <v>25</v>
      </c>
      <c r="BI63" s="123" t="s">
        <v>4</v>
      </c>
    </row>
    <row r="64" spans="1:61" s="110" customFormat="1" ht="11.25" customHeight="1" x14ac:dyDescent="0.15">
      <c r="A64" s="123" t="s">
        <v>216</v>
      </c>
      <c r="B64" s="123">
        <v>1</v>
      </c>
      <c r="C64" s="126">
        <v>57</v>
      </c>
      <c r="D64" s="124" t="s">
        <v>217</v>
      </c>
      <c r="E64" s="192">
        <v>81</v>
      </c>
      <c r="F64" s="125">
        <f>ROUND(E64*Valores!$C$2,2)</f>
        <v>6285.33</v>
      </c>
      <c r="G64" s="192">
        <v>2094</v>
      </c>
      <c r="H64" s="125">
        <f>ROUND(G64*Valores!$C$2,2)</f>
        <v>162487.49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58694.239999999998</v>
      </c>
      <c r="N64" s="125">
        <f t="shared" si="1"/>
        <v>0</v>
      </c>
      <c r="O64" s="125">
        <f>Valores!$C$9</f>
        <v>97503.47</v>
      </c>
      <c r="P64" s="125">
        <f>Valores!$D$5</f>
        <v>39667.43</v>
      </c>
      <c r="Q64" s="125">
        <f>Valores!$C$22</f>
        <v>35387.42</v>
      </c>
      <c r="R64" s="125">
        <f>IF($F$4="NO",Valores!$C$46,Valores!$C$46/2)</f>
        <v>29095.32</v>
      </c>
      <c r="S64" s="125">
        <f>Valores!$C$19</f>
        <v>36908.81</v>
      </c>
      <c r="T64" s="125">
        <f t="shared" si="8"/>
        <v>36908.81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Valores!$C$97</f>
        <v>65179.040000000001</v>
      </c>
      <c r="AA64" s="125">
        <f>Valores!$C$25</f>
        <v>1622.32</v>
      </c>
      <c r="AB64" s="214">
        <v>0</v>
      </c>
      <c r="AC64" s="125">
        <f t="shared" si="2"/>
        <v>0</v>
      </c>
      <c r="AD64" s="125">
        <f>Valores!$C$26</f>
        <v>1622.32</v>
      </c>
      <c r="AE64" s="192">
        <v>0</v>
      </c>
      <c r="AF64" s="125">
        <f>ROUND(AE64*Valores!$C$2,2)</f>
        <v>0</v>
      </c>
      <c r="AG64" s="125">
        <f>ROUND(IF($F$4="NO",Valores!$C$64,Valores!$C$64/2),2)</f>
        <v>18547.32</v>
      </c>
      <c r="AH64" s="125">
        <f>SUM(F64,H64,J64,L64,M64,N64,O64,P64,Q64,R64,T64,U64,V64,X64,Y64,Z64,AA64,AC64,AD64,AF64,AG64)*Valores!$C$104</f>
        <v>55300.050999999978</v>
      </c>
      <c r="AI64" s="125">
        <f t="shared" si="3"/>
        <v>608300.56099999975</v>
      </c>
      <c r="AJ64" s="125">
        <f>Valores!$C$31</f>
        <v>35000</v>
      </c>
      <c r="AK64" s="125">
        <v>0</v>
      </c>
      <c r="AL64" s="125">
        <f>Valores!$C$90</f>
        <v>0</v>
      </c>
      <c r="AM64" s="125">
        <f>Valores!C$39*B64</f>
        <v>0</v>
      </c>
      <c r="AN64" s="125">
        <f>IF($F$3="NO",0,Valores!$C$57)</f>
        <v>0</v>
      </c>
      <c r="AO64" s="125">
        <f t="shared" si="4"/>
        <v>35000</v>
      </c>
      <c r="AP64" s="125">
        <f>AI64*Valores!$C$72</f>
        <v>-66913.06170999998</v>
      </c>
      <c r="AQ64" s="125">
        <f>IF(AI64&lt;Valores!$E$73,-0.02,IF(AI64&lt;Valores!$F$73,-0.03,-0.04))*AI64</f>
        <v>-12166.011219999995</v>
      </c>
      <c r="AR64" s="125">
        <f>AI64*Valores!$C$75</f>
        <v>-33456.53085499999</v>
      </c>
      <c r="AS64" s="125">
        <f>Valores!$C$102</f>
        <v>-1270.1600000000001</v>
      </c>
      <c r="AT64" s="125">
        <f>IF($F$5=0,Valores!$C$103,(Valores!$C$103+$F$5*(Valores!$C$103)))</f>
        <v>-3700</v>
      </c>
      <c r="AU64" s="125">
        <f t="shared" si="6"/>
        <v>525794.79721499979</v>
      </c>
      <c r="AV64" s="125">
        <f t="shared" si="0"/>
        <v>-66913.06170999998</v>
      </c>
      <c r="AW64" s="125">
        <f t="shared" si="7"/>
        <v>-12166.011219999995</v>
      </c>
      <c r="AX64" s="125">
        <f>AI64*Valores!$C$76</f>
        <v>-16424.115146999993</v>
      </c>
      <c r="AY64" s="125">
        <f>AI64*Valores!$C$77</f>
        <v>-1824.9016829999994</v>
      </c>
      <c r="AZ64" s="125">
        <f t="shared" si="5"/>
        <v>545972.47123999975</v>
      </c>
      <c r="BA64" s="125">
        <f>AI64*Valores!$C$79</f>
        <v>97328.089759999959</v>
      </c>
      <c r="BB64" s="125">
        <f>AI64*Valores!$C$80</f>
        <v>42581.039269999987</v>
      </c>
      <c r="BC64" s="125">
        <f>AI64*Valores!$C$81</f>
        <v>6083.0056099999974</v>
      </c>
      <c r="BD64" s="125">
        <f>AI64*Valores!$C$83</f>
        <v>21290.519634999993</v>
      </c>
      <c r="BE64" s="125">
        <f>AI64*Valores!$C$85</f>
        <v>32848.230293999986</v>
      </c>
      <c r="BF64" s="125">
        <f>AI64*Valores!$C$84</f>
        <v>3649.8033659999987</v>
      </c>
      <c r="BG64" s="126"/>
      <c r="BH64" s="126">
        <v>30</v>
      </c>
      <c r="BI64" s="123" t="s">
        <v>4</v>
      </c>
    </row>
    <row r="65" spans="1:61" s="110" customFormat="1" ht="11.25" customHeight="1" x14ac:dyDescent="0.15">
      <c r="A65" s="123" t="s">
        <v>218</v>
      </c>
      <c r="B65" s="123">
        <v>1</v>
      </c>
      <c r="C65" s="126">
        <v>58</v>
      </c>
      <c r="D65" s="124" t="s">
        <v>219</v>
      </c>
      <c r="E65" s="192">
        <v>80</v>
      </c>
      <c r="F65" s="125">
        <f>ROUND(E65*Valores!$C$2,2)</f>
        <v>6207.74</v>
      </c>
      <c r="G65" s="192">
        <v>2095</v>
      </c>
      <c r="H65" s="125">
        <f>ROUND(G65*Valores!$C$2,2)</f>
        <v>162565.09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58694.239999999998</v>
      </c>
      <c r="N65" s="125">
        <f t="shared" si="1"/>
        <v>0</v>
      </c>
      <c r="O65" s="125">
        <f>Valores!$C$9</f>
        <v>97503.47</v>
      </c>
      <c r="P65" s="125">
        <f>Valores!$D$5</f>
        <v>39667.43</v>
      </c>
      <c r="Q65" s="125">
        <f>Valores!$C$22</f>
        <v>35387.42</v>
      </c>
      <c r="R65" s="125">
        <f>IF($F$4="NO",Valores!$C$46,Valores!$C$46/2)</f>
        <v>29095.32</v>
      </c>
      <c r="S65" s="125">
        <f>Valores!$C$19</f>
        <v>36908.81</v>
      </c>
      <c r="T65" s="125">
        <f t="shared" si="8"/>
        <v>36908.81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Valores!$C$97</f>
        <v>65179.040000000001</v>
      </c>
      <c r="AA65" s="125">
        <f>Valores!$C$25</f>
        <v>1622.32</v>
      </c>
      <c r="AB65" s="214">
        <v>0</v>
      </c>
      <c r="AC65" s="125">
        <f t="shared" si="2"/>
        <v>0</v>
      </c>
      <c r="AD65" s="125">
        <f>Valores!$C$26</f>
        <v>1622.32</v>
      </c>
      <c r="AE65" s="192">
        <v>94</v>
      </c>
      <c r="AF65" s="125">
        <f>ROUND(AE65*Valores!$C$2,2)</f>
        <v>7294.09</v>
      </c>
      <c r="AG65" s="125">
        <f>ROUND(IF($F$4="NO",Valores!$C$64,Valores!$C$64/2),2)</f>
        <v>18547.32</v>
      </c>
      <c r="AH65" s="125">
        <f>SUM(F65,H65,J65,L65,M65,N65,O65,P65,Q65,R65,T65,U65,V65,X65,Y65,Z65,AA65,AC65,AD65,AF65,AG65)*Valores!$C$104</f>
        <v>56029.460999999981</v>
      </c>
      <c r="AI65" s="125">
        <f t="shared" si="3"/>
        <v>616324.07099999976</v>
      </c>
      <c r="AJ65" s="125">
        <f>Valores!$C$31</f>
        <v>35000</v>
      </c>
      <c r="AK65" s="125">
        <v>0</v>
      </c>
      <c r="AL65" s="125">
        <f>Valores!$C$90</f>
        <v>0</v>
      </c>
      <c r="AM65" s="125">
        <f>Valores!C$39*B65</f>
        <v>0</v>
      </c>
      <c r="AN65" s="125">
        <f>IF($F$3="NO",0,Valores!$C$57)</f>
        <v>0</v>
      </c>
      <c r="AO65" s="125">
        <f t="shared" si="4"/>
        <v>35000</v>
      </c>
      <c r="AP65" s="125">
        <f>AI65*Valores!$C$72</f>
        <v>-67795.64780999998</v>
      </c>
      <c r="AQ65" s="125">
        <f>IF(AI65&lt;Valores!$E$73,-0.02,IF(AI65&lt;Valores!$F$73,-0.03,-0.04))*AI65</f>
        <v>-12326.481419999996</v>
      </c>
      <c r="AR65" s="125">
        <f>AI65*Valores!$C$75</f>
        <v>-33897.82390499999</v>
      </c>
      <c r="AS65" s="125">
        <f>Valores!$C$102</f>
        <v>-1270.1600000000001</v>
      </c>
      <c r="AT65" s="125">
        <f>IF($F$5=0,Valores!$C$103,(Valores!$C$103+$F$5*(Valores!$C$103)))</f>
        <v>-3700</v>
      </c>
      <c r="AU65" s="125">
        <f t="shared" si="6"/>
        <v>532333.95786499977</v>
      </c>
      <c r="AV65" s="125">
        <f t="shared" si="0"/>
        <v>-67795.64780999998</v>
      </c>
      <c r="AW65" s="125">
        <f t="shared" si="7"/>
        <v>-12326.481419999996</v>
      </c>
      <c r="AX65" s="125">
        <f>AI65*Valores!$C$76</f>
        <v>-16640.749916999994</v>
      </c>
      <c r="AY65" s="125">
        <f>AI65*Valores!$C$77</f>
        <v>-1848.9722129999993</v>
      </c>
      <c r="AZ65" s="125">
        <f t="shared" si="5"/>
        <v>552712.21963999979</v>
      </c>
      <c r="BA65" s="125">
        <f>AI65*Valores!$C$79</f>
        <v>98611.851359999971</v>
      </c>
      <c r="BB65" s="125">
        <f>AI65*Valores!$C$80</f>
        <v>43142.684969999988</v>
      </c>
      <c r="BC65" s="125">
        <f>AI65*Valores!$C$81</f>
        <v>6163.2407099999982</v>
      </c>
      <c r="BD65" s="125">
        <f>AI65*Valores!$C$83</f>
        <v>21571.342484999994</v>
      </c>
      <c r="BE65" s="125">
        <f>AI65*Valores!$C$85</f>
        <v>33281.499833999987</v>
      </c>
      <c r="BF65" s="125">
        <f>AI65*Valores!$C$84</f>
        <v>3697.9444259999987</v>
      </c>
      <c r="BG65" s="126"/>
      <c r="BH65" s="126">
        <v>25</v>
      </c>
      <c r="BI65" s="123" t="s">
        <v>4</v>
      </c>
    </row>
    <row r="66" spans="1:61" s="110" customFormat="1" ht="11.25" customHeight="1" x14ac:dyDescent="0.15">
      <c r="A66" s="123" t="s">
        <v>220</v>
      </c>
      <c r="B66" s="123">
        <v>1</v>
      </c>
      <c r="C66" s="126">
        <v>59</v>
      </c>
      <c r="D66" s="124" t="s">
        <v>221</v>
      </c>
      <c r="E66" s="192">
        <v>79</v>
      </c>
      <c r="F66" s="125">
        <f>ROUND(E66*Valores!$C$2,2)</f>
        <v>6130.14</v>
      </c>
      <c r="G66" s="192">
        <v>1944</v>
      </c>
      <c r="H66" s="125">
        <f>ROUND(G66*Valores!$C$2,2)</f>
        <v>150847.98000000001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55745.56</v>
      </c>
      <c r="N66" s="125">
        <f t="shared" si="1"/>
        <v>0</v>
      </c>
      <c r="O66" s="125">
        <f>Valores!$C$9</f>
        <v>97503.47</v>
      </c>
      <c r="P66" s="125">
        <f>Valores!$D$5</f>
        <v>39667.43</v>
      </c>
      <c r="Q66" s="125">
        <f>Valores!$C$22</f>
        <v>35387.42</v>
      </c>
      <c r="R66" s="125">
        <f>IF($F$4="NO",Valores!$C$46,Valores!$C$46/2)</f>
        <v>29095.32</v>
      </c>
      <c r="S66" s="125">
        <f>Valores!$C$19</f>
        <v>36908.81</v>
      </c>
      <c r="T66" s="125">
        <f t="shared" si="8"/>
        <v>36908.81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Valores!$C$97</f>
        <v>65179.040000000001</v>
      </c>
      <c r="AA66" s="125">
        <f>Valores!$C$25</f>
        <v>1622.32</v>
      </c>
      <c r="AB66" s="214">
        <v>0</v>
      </c>
      <c r="AC66" s="125">
        <f t="shared" si="2"/>
        <v>0</v>
      </c>
      <c r="AD66" s="125">
        <f>Valores!$C$26</f>
        <v>1622.32</v>
      </c>
      <c r="AE66" s="192">
        <v>0</v>
      </c>
      <c r="AF66" s="125">
        <f>ROUND(AE66*Valores!$C$2,2)</f>
        <v>0</v>
      </c>
      <c r="AG66" s="125">
        <f>ROUND(IF($F$4="NO",Valores!$C$64,Valores!$C$64/2),2)</f>
        <v>18547.32</v>
      </c>
      <c r="AH66" s="125">
        <f>SUM(F66,H66,J66,L66,M66,N66,O66,P66,Q66,R66,T66,U66,V66,X66,Y66,Z66,AA66,AC66,AD66,AF66,AG66)*Valores!$C$104</f>
        <v>53825.713000000003</v>
      </c>
      <c r="AI66" s="125">
        <f t="shared" si="3"/>
        <v>592082.84299999999</v>
      </c>
      <c r="AJ66" s="125">
        <f>Valores!$C$31</f>
        <v>35000</v>
      </c>
      <c r="AK66" s="125">
        <v>0</v>
      </c>
      <c r="AL66" s="125">
        <f>Valores!$C$90</f>
        <v>0</v>
      </c>
      <c r="AM66" s="125">
        <f>Valores!C$39*B66</f>
        <v>0</v>
      </c>
      <c r="AN66" s="125">
        <f>IF($F$3="NO",0,Valores!$C$57)</f>
        <v>0</v>
      </c>
      <c r="AO66" s="125">
        <f t="shared" si="4"/>
        <v>35000</v>
      </c>
      <c r="AP66" s="125">
        <f>AI66*Valores!$C$72</f>
        <v>-65129.112730000001</v>
      </c>
      <c r="AQ66" s="125">
        <f>IF(AI66&lt;Valores!$E$73,-0.02,IF(AI66&lt;Valores!$F$73,-0.03,-0.04))*AI66</f>
        <v>-11841.656860000001</v>
      </c>
      <c r="AR66" s="125">
        <f>AI66*Valores!$C$75</f>
        <v>-32564.556365</v>
      </c>
      <c r="AS66" s="125">
        <f>Valores!$C$102</f>
        <v>-1270.1600000000001</v>
      </c>
      <c r="AT66" s="125">
        <f>IF($F$5=0,Valores!$C$103,(Valores!$C$103+$F$5*(Valores!$C$103)))</f>
        <v>-3700</v>
      </c>
      <c r="AU66" s="125">
        <f t="shared" si="6"/>
        <v>512577.35704499995</v>
      </c>
      <c r="AV66" s="125">
        <f t="shared" si="0"/>
        <v>-65129.112730000001</v>
      </c>
      <c r="AW66" s="125">
        <f t="shared" si="7"/>
        <v>-11841.656860000001</v>
      </c>
      <c r="AX66" s="125">
        <f>AI66*Valores!$C$76</f>
        <v>-15986.236761</v>
      </c>
      <c r="AY66" s="125">
        <f>AI66*Valores!$C$77</f>
        <v>-1776.248529</v>
      </c>
      <c r="AZ66" s="125">
        <f t="shared" si="5"/>
        <v>532349.58811999997</v>
      </c>
      <c r="BA66" s="125">
        <f>AI66*Valores!$C$79</f>
        <v>94733.254880000008</v>
      </c>
      <c r="BB66" s="125">
        <f>AI66*Valores!$C$80</f>
        <v>41445.799010000002</v>
      </c>
      <c r="BC66" s="125">
        <f>AI66*Valores!$C$81</f>
        <v>5920.8284300000005</v>
      </c>
      <c r="BD66" s="125">
        <f>AI66*Valores!$C$83</f>
        <v>20722.899505000001</v>
      </c>
      <c r="BE66" s="125">
        <f>AI66*Valores!$C$85</f>
        <v>31972.473522</v>
      </c>
      <c r="BF66" s="125">
        <f>AI66*Valores!$C$84</f>
        <v>3552.4970579999999</v>
      </c>
      <c r="BG66" s="126"/>
      <c r="BH66" s="126">
        <v>30</v>
      </c>
      <c r="BI66" s="123" t="s">
        <v>4</v>
      </c>
    </row>
    <row r="67" spans="1:61" s="110" customFormat="1" ht="11.25" customHeight="1" x14ac:dyDescent="0.15">
      <c r="A67" s="123" t="s">
        <v>222</v>
      </c>
      <c r="B67" s="123">
        <v>1</v>
      </c>
      <c r="C67" s="126">
        <v>60</v>
      </c>
      <c r="D67" s="124" t="s">
        <v>223</v>
      </c>
      <c r="E67" s="192">
        <v>79</v>
      </c>
      <c r="F67" s="125">
        <f>ROUND(E67*Valores!$C$2,2)</f>
        <v>6130.14</v>
      </c>
      <c r="G67" s="192">
        <v>1944</v>
      </c>
      <c r="H67" s="125">
        <f>ROUND(G67*Valores!$C$2,2)</f>
        <v>150847.98000000001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55745.56</v>
      </c>
      <c r="N67" s="125">
        <f t="shared" si="1"/>
        <v>0</v>
      </c>
      <c r="O67" s="125">
        <f>Valores!$C$9</f>
        <v>97503.47</v>
      </c>
      <c r="P67" s="125">
        <f>Valores!$D$5</f>
        <v>39667.43</v>
      </c>
      <c r="Q67" s="125">
        <f>Valores!$C$22</f>
        <v>35387.42</v>
      </c>
      <c r="R67" s="125">
        <f>IF($F$4="NO",Valores!$C$46,Valores!$C$46/2)</f>
        <v>29095.32</v>
      </c>
      <c r="S67" s="125">
        <f>Valores!$C$19</f>
        <v>36908.81</v>
      </c>
      <c r="T67" s="125">
        <f t="shared" si="8"/>
        <v>36908.81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Valores!$C$97</f>
        <v>65179.040000000001</v>
      </c>
      <c r="AA67" s="125">
        <f>Valores!$C$25</f>
        <v>1622.32</v>
      </c>
      <c r="AB67" s="214">
        <v>0</v>
      </c>
      <c r="AC67" s="125">
        <f t="shared" si="2"/>
        <v>0</v>
      </c>
      <c r="AD67" s="125">
        <f>Valores!$C$26</f>
        <v>1622.32</v>
      </c>
      <c r="AE67" s="192">
        <v>94</v>
      </c>
      <c r="AF67" s="125">
        <f>ROUND(AE67*Valores!$C$2,2)</f>
        <v>7294.09</v>
      </c>
      <c r="AG67" s="125">
        <f>ROUND(IF($F$4="NO",Valores!$C$64,Valores!$C$64/2),2)</f>
        <v>18547.32</v>
      </c>
      <c r="AH67" s="125">
        <f>SUM(F67,H67,J67,L67,M67,N67,O67,P67,Q67,R67,T67,U67,V67,X67,Y67,Z67,AA67,AC67,AD67,AF67,AG67)*Valores!$C$104</f>
        <v>54555.122000000003</v>
      </c>
      <c r="AI67" s="125">
        <f t="shared" si="3"/>
        <v>600106.34199999995</v>
      </c>
      <c r="AJ67" s="125">
        <f>Valores!$C$31</f>
        <v>35000</v>
      </c>
      <c r="AK67" s="125">
        <v>0</v>
      </c>
      <c r="AL67" s="125">
        <f>Valores!$C$90</f>
        <v>0</v>
      </c>
      <c r="AM67" s="125">
        <f>Valores!C$39*B67</f>
        <v>0</v>
      </c>
      <c r="AN67" s="125">
        <f>IF($F$3="NO",0,Valores!$C$57)</f>
        <v>0</v>
      </c>
      <c r="AO67" s="125">
        <f t="shared" si="4"/>
        <v>35000</v>
      </c>
      <c r="AP67" s="125">
        <f>AI67*Valores!$C$72</f>
        <v>-66011.697619999992</v>
      </c>
      <c r="AQ67" s="125">
        <f>IF(AI67&lt;Valores!$E$73,-0.02,IF(AI67&lt;Valores!$F$73,-0.03,-0.04))*AI67</f>
        <v>-12002.126839999999</v>
      </c>
      <c r="AR67" s="125">
        <f>AI67*Valores!$C$75</f>
        <v>-33005.848809999996</v>
      </c>
      <c r="AS67" s="125">
        <f>Valores!$C$102</f>
        <v>-1270.1600000000001</v>
      </c>
      <c r="AT67" s="125">
        <f>IF($F$5=0,Valores!$C$103,(Valores!$C$103+$F$5*(Valores!$C$103)))</f>
        <v>-3700</v>
      </c>
      <c r="AU67" s="125">
        <f t="shared" si="6"/>
        <v>519116.50872999994</v>
      </c>
      <c r="AV67" s="125">
        <f t="shared" si="0"/>
        <v>-66011.697619999992</v>
      </c>
      <c r="AW67" s="125">
        <f t="shared" si="7"/>
        <v>-12002.126839999999</v>
      </c>
      <c r="AX67" s="125">
        <f>AI67*Valores!$C$76</f>
        <v>-16202.871233999998</v>
      </c>
      <c r="AY67" s="125">
        <f>AI67*Valores!$C$77</f>
        <v>-1800.3190259999999</v>
      </c>
      <c r="AZ67" s="125">
        <f t="shared" si="5"/>
        <v>539089.32727999997</v>
      </c>
      <c r="BA67" s="125">
        <f>AI67*Valores!$C$79</f>
        <v>96017.014719999992</v>
      </c>
      <c r="BB67" s="125">
        <f>AI67*Valores!$C$80</f>
        <v>42007.443939999997</v>
      </c>
      <c r="BC67" s="125">
        <f>AI67*Valores!$C$81</f>
        <v>6001.0634199999995</v>
      </c>
      <c r="BD67" s="125">
        <f>AI67*Valores!$C$83</f>
        <v>21003.721969999999</v>
      </c>
      <c r="BE67" s="125">
        <f>AI67*Valores!$C$85</f>
        <v>32405.742467999997</v>
      </c>
      <c r="BF67" s="125">
        <f>AI67*Valores!$C$84</f>
        <v>3600.6380519999998</v>
      </c>
      <c r="BG67" s="126"/>
      <c r="BH67" s="126">
        <v>25</v>
      </c>
      <c r="BI67" s="123" t="s">
        <v>8</v>
      </c>
    </row>
    <row r="68" spans="1:61" s="110" customFormat="1" ht="11.25" customHeight="1" x14ac:dyDescent="0.15">
      <c r="A68" s="123" t="s">
        <v>224</v>
      </c>
      <c r="B68" s="123">
        <v>1</v>
      </c>
      <c r="C68" s="126">
        <v>61</v>
      </c>
      <c r="D68" s="124" t="s">
        <v>225</v>
      </c>
      <c r="E68" s="192">
        <v>100</v>
      </c>
      <c r="F68" s="125">
        <f>ROUND(E68*Valores!$C$2,2)</f>
        <v>7759.67</v>
      </c>
      <c r="G68" s="192">
        <v>2864</v>
      </c>
      <c r="H68" s="125">
        <f>ROUND(G68*Valores!$C$2,2)</f>
        <v>222236.95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73615.070000000007</v>
      </c>
      <c r="N68" s="125">
        <f t="shared" si="1"/>
        <v>0</v>
      </c>
      <c r="O68" s="125">
        <f>Valores!$C$9</f>
        <v>97503.47</v>
      </c>
      <c r="P68" s="125">
        <f>Valores!$D$5</f>
        <v>39667.43</v>
      </c>
      <c r="Q68" s="125">
        <v>0</v>
      </c>
      <c r="R68" s="125">
        <f>IF($F$4="NO",Valores!$C$45,Valores!$C$45/2)</f>
        <v>27554.83</v>
      </c>
      <c r="S68" s="125">
        <f>Valores!$C$19</f>
        <v>36908.81</v>
      </c>
      <c r="T68" s="125">
        <f t="shared" si="8"/>
        <v>36908.81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Valores!$C$96</f>
        <v>54315.88</v>
      </c>
      <c r="AA68" s="125">
        <f>Valores!$C$25</f>
        <v>1622.32</v>
      </c>
      <c r="AB68" s="214">
        <v>0</v>
      </c>
      <c r="AC68" s="125">
        <f t="shared" si="2"/>
        <v>0</v>
      </c>
      <c r="AD68" s="125">
        <f>Valores!$C$26</f>
        <v>1622.32</v>
      </c>
      <c r="AE68" s="192">
        <v>0</v>
      </c>
      <c r="AF68" s="125">
        <f>ROUND(AE68*Valores!$C$2,2)</f>
        <v>0</v>
      </c>
      <c r="AG68" s="125">
        <f>ROUND(IF($F$4="NO",Valores!$C$64,Valores!$C$64/2),2)</f>
        <v>18547.32</v>
      </c>
      <c r="AH68" s="125">
        <f>SUM(F68,H68,J68,L68,M68,N68,O68,P68,Q68,R68,T68,U68,V68,X68,Y68,Z68,AA68,AC68,AD68,AF68,AG68)*Valores!$C$104</f>
        <v>58135.406999999985</v>
      </c>
      <c r="AI68" s="125">
        <f t="shared" si="3"/>
        <v>639489.47699999984</v>
      </c>
      <c r="AJ68" s="125">
        <f>Valores!$C$32</f>
        <v>70000</v>
      </c>
      <c r="AK68" s="125">
        <v>0</v>
      </c>
      <c r="AL68" s="125">
        <f>Valores!$C$89</f>
        <v>0</v>
      </c>
      <c r="AM68" s="125">
        <f>Valores!C$39*B68</f>
        <v>0</v>
      </c>
      <c r="AN68" s="125">
        <f>IF($F$3="NO",0,Valores!$C$56)</f>
        <v>0</v>
      </c>
      <c r="AO68" s="125">
        <f t="shared" si="4"/>
        <v>70000</v>
      </c>
      <c r="AP68" s="125">
        <f>AI68*Valores!$C$72</f>
        <v>-70343.842469999989</v>
      </c>
      <c r="AQ68" s="125">
        <f>IF(AI68&lt;Valores!$E$73,-0.02,IF(AI68&lt;Valores!$F$73,-0.03,-0.04))*AI68</f>
        <v>-12789.789539999998</v>
      </c>
      <c r="AR68" s="125">
        <f>AI68*Valores!$C$75</f>
        <v>-35171.921234999994</v>
      </c>
      <c r="AS68" s="125">
        <f>Valores!$C$102</f>
        <v>-1270.1600000000001</v>
      </c>
      <c r="AT68" s="125">
        <f>IF($F$5=0,Valores!$C$103,(Valores!$C$103+$F$5*(Valores!$C$103)))</f>
        <v>-3700</v>
      </c>
      <c r="AU68" s="125">
        <f t="shared" si="6"/>
        <v>586213.76375499985</v>
      </c>
      <c r="AV68" s="125">
        <f t="shared" si="0"/>
        <v>-70343.842469999989</v>
      </c>
      <c r="AW68" s="125">
        <f t="shared" si="7"/>
        <v>-12789.789539999998</v>
      </c>
      <c r="AX68" s="125">
        <f>AI68*Valores!$C$76</f>
        <v>-17266.215878999996</v>
      </c>
      <c r="AY68" s="125">
        <f>AI68*Valores!$C$77</f>
        <v>-1918.4684309999996</v>
      </c>
      <c r="AZ68" s="125">
        <f t="shared" si="5"/>
        <v>607171.16067999986</v>
      </c>
      <c r="BA68" s="125">
        <f>AI68*Valores!$C$79</f>
        <v>102318.31631999998</v>
      </c>
      <c r="BB68" s="125">
        <f>AI68*Valores!$C$80</f>
        <v>44764.263389999993</v>
      </c>
      <c r="BC68" s="125">
        <f>AI68*Valores!$C$81</f>
        <v>6394.894769999999</v>
      </c>
      <c r="BD68" s="125">
        <f>AI68*Valores!$C$83</f>
        <v>22382.131694999996</v>
      </c>
      <c r="BE68" s="125">
        <f>AI68*Valores!$C$85</f>
        <v>34532.431757999992</v>
      </c>
      <c r="BF68" s="125">
        <f>AI68*Valores!$C$84</f>
        <v>3836.9368619999991</v>
      </c>
      <c r="BG68" s="126"/>
      <c r="BH68" s="126"/>
      <c r="BI68" s="123" t="s">
        <v>4</v>
      </c>
    </row>
    <row r="69" spans="1:61" s="110" customFormat="1" ht="11.25" customHeight="1" x14ac:dyDescent="0.15">
      <c r="A69" s="123" t="s">
        <v>226</v>
      </c>
      <c r="B69" s="123">
        <v>1</v>
      </c>
      <c r="C69" s="126">
        <v>62</v>
      </c>
      <c r="D69" s="124" t="s">
        <v>227</v>
      </c>
      <c r="E69" s="192">
        <v>79</v>
      </c>
      <c r="F69" s="125">
        <f>ROUND(E69*Valores!$C$2,2)</f>
        <v>6130.14</v>
      </c>
      <c r="G69" s="192">
        <v>2161</v>
      </c>
      <c r="H69" s="125">
        <f>ROUND(G69*Valores!$C$2,2)</f>
        <v>167686.47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59955.19</v>
      </c>
      <c r="N69" s="125">
        <f t="shared" si="1"/>
        <v>0</v>
      </c>
      <c r="O69" s="125">
        <f>Valores!$C$9</f>
        <v>97503.47</v>
      </c>
      <c r="P69" s="125">
        <f>Valores!$D$5</f>
        <v>39667.43</v>
      </c>
      <c r="Q69" s="125">
        <f>Valores!$C$22</f>
        <v>35387.42</v>
      </c>
      <c r="R69" s="125">
        <f>IF($F$4="NO",Valores!$C$46,Valores!$C$46/2)</f>
        <v>29095.32</v>
      </c>
      <c r="S69" s="125">
        <f>Valores!$C$19</f>
        <v>36908.81</v>
      </c>
      <c r="T69" s="125">
        <f t="shared" si="8"/>
        <v>36908.81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Valores!$C$97</f>
        <v>65179.040000000001</v>
      </c>
      <c r="AA69" s="125">
        <f>Valores!$C$25</f>
        <v>1622.32</v>
      </c>
      <c r="AB69" s="214">
        <v>0</v>
      </c>
      <c r="AC69" s="125">
        <f t="shared" si="2"/>
        <v>0</v>
      </c>
      <c r="AD69" s="125">
        <f>Valores!$C$26</f>
        <v>1622.32</v>
      </c>
      <c r="AE69" s="192">
        <v>0</v>
      </c>
      <c r="AF69" s="125">
        <f>ROUND(AE69*Valores!$C$2,2)</f>
        <v>0</v>
      </c>
      <c r="AG69" s="125">
        <f>ROUND(IF($F$4="NO",Valores!$C$64,Valores!$C$64/2),2)</f>
        <v>18547.32</v>
      </c>
      <c r="AH69" s="125">
        <f>SUM(F69,H69,J69,L69,M69,N69,O69,P69,Q69,R69,T69,U69,V69,X69,Y69,Z69,AA69,AC69,AD69,AF69,AG69)*Valores!$C$104</f>
        <v>55930.524999999994</v>
      </c>
      <c r="AI69" s="125">
        <f t="shared" si="3"/>
        <v>615235.77499999991</v>
      </c>
      <c r="AJ69" s="125">
        <f>Valores!$C$31</f>
        <v>35000</v>
      </c>
      <c r="AK69" s="125">
        <v>0</v>
      </c>
      <c r="AL69" s="125">
        <f>Valores!$C$90</f>
        <v>0</v>
      </c>
      <c r="AM69" s="125">
        <f>Valores!C$39*B69</f>
        <v>0</v>
      </c>
      <c r="AN69" s="125">
        <f>IF($F$3="NO",0,Valores!$C$57)</f>
        <v>0</v>
      </c>
      <c r="AO69" s="125">
        <f t="shared" si="4"/>
        <v>35000</v>
      </c>
      <c r="AP69" s="125">
        <f>AI69*Valores!$C$72</f>
        <v>-67675.935249999995</v>
      </c>
      <c r="AQ69" s="125">
        <f>IF(AI69&lt;Valores!$E$73,-0.02,IF(AI69&lt;Valores!$F$73,-0.03,-0.04))*AI69</f>
        <v>-12304.715499999998</v>
      </c>
      <c r="AR69" s="125">
        <f>AI69*Valores!$C$75</f>
        <v>-33837.967624999997</v>
      </c>
      <c r="AS69" s="125">
        <f>Valores!$C$102</f>
        <v>-1270.1600000000001</v>
      </c>
      <c r="AT69" s="125">
        <f>IF($F$5=0,Valores!$C$103,(Valores!$C$103+$F$5*(Valores!$C$103)))</f>
        <v>-3700</v>
      </c>
      <c r="AU69" s="125">
        <f t="shared" si="6"/>
        <v>531446.99662499991</v>
      </c>
      <c r="AV69" s="125">
        <f t="shared" si="0"/>
        <v>-67675.935249999995</v>
      </c>
      <c r="AW69" s="125">
        <f t="shared" si="7"/>
        <v>-12304.715499999998</v>
      </c>
      <c r="AX69" s="125">
        <f>AI69*Valores!$C$76</f>
        <v>-16611.365924999998</v>
      </c>
      <c r="AY69" s="125">
        <f>AI69*Valores!$C$77</f>
        <v>-1845.7073249999999</v>
      </c>
      <c r="AZ69" s="125">
        <f t="shared" si="5"/>
        <v>551798.05099999998</v>
      </c>
      <c r="BA69" s="125">
        <f>AI69*Valores!$C$79</f>
        <v>98437.723999999987</v>
      </c>
      <c r="BB69" s="125">
        <f>AI69*Valores!$C$80</f>
        <v>43066.504249999998</v>
      </c>
      <c r="BC69" s="125">
        <f>AI69*Valores!$C$81</f>
        <v>6152.3577499999992</v>
      </c>
      <c r="BD69" s="125">
        <f>AI69*Valores!$C$83</f>
        <v>21533.252124999999</v>
      </c>
      <c r="BE69" s="125">
        <f>AI69*Valores!$C$85</f>
        <v>33222.731849999996</v>
      </c>
      <c r="BF69" s="125">
        <f>AI69*Valores!$C$84</f>
        <v>3691.4146499999997</v>
      </c>
      <c r="BG69" s="126"/>
      <c r="BH69" s="126">
        <v>30</v>
      </c>
      <c r="BI69" s="123" t="s">
        <v>4</v>
      </c>
    </row>
    <row r="70" spans="1:61" s="110" customFormat="1" ht="11.25" customHeight="1" x14ac:dyDescent="0.15">
      <c r="A70" s="123" t="s">
        <v>228</v>
      </c>
      <c r="B70" s="123">
        <v>1</v>
      </c>
      <c r="C70" s="126">
        <v>63</v>
      </c>
      <c r="D70" s="124" t="s">
        <v>229</v>
      </c>
      <c r="E70" s="192">
        <v>90</v>
      </c>
      <c r="F70" s="125">
        <f>ROUND(E70*Valores!$C$2,2)</f>
        <v>6983.7</v>
      </c>
      <c r="G70" s="192">
        <v>3010</v>
      </c>
      <c r="H70" s="125">
        <f>ROUND(G70*Valores!$C$2,2)</f>
        <v>233566.07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78190.600000000006</v>
      </c>
      <c r="N70" s="125">
        <f t="shared" si="1"/>
        <v>0</v>
      </c>
      <c r="O70" s="125">
        <f>Valores!$C$9</f>
        <v>97503.47</v>
      </c>
      <c r="P70" s="125">
        <f>Valores!$D$5</f>
        <v>39667.43</v>
      </c>
      <c r="Q70" s="125">
        <f>Valores!$C$22</f>
        <v>35387.42</v>
      </c>
      <c r="R70" s="125">
        <f>IF($F$4="NO",Valores!$C$49,Valores!$C$49/2)</f>
        <v>35303.83</v>
      </c>
      <c r="S70" s="125">
        <f>Valores!$C$19</f>
        <v>36908.81</v>
      </c>
      <c r="T70" s="125">
        <f t="shared" si="8"/>
        <v>36908.81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Valores!$C$97</f>
        <v>65179.040000000001</v>
      </c>
      <c r="AA70" s="125">
        <f>Valores!$C$25</f>
        <v>1622.32</v>
      </c>
      <c r="AB70" s="214">
        <v>0</v>
      </c>
      <c r="AC70" s="125">
        <f t="shared" si="2"/>
        <v>0</v>
      </c>
      <c r="AD70" s="125">
        <f>Valores!$C$26</f>
        <v>1622.32</v>
      </c>
      <c r="AE70" s="192">
        <v>0</v>
      </c>
      <c r="AF70" s="125">
        <f>ROUND(AE70*Valores!$C$2,2)</f>
        <v>0</v>
      </c>
      <c r="AG70" s="125">
        <f>ROUND(IF($F$4="NO",Valores!$C$64,Valores!$C$64/2),2)</f>
        <v>18547.32</v>
      </c>
      <c r="AH70" s="125">
        <f>SUM(F70,H70,J70,L70,M70,N70,O70,P70,Q70,R70,T70,U70,V70,X70,Y70,Z70,AA70,AC70,AD70,AF70,AG70)*Valores!$C$104</f>
        <v>65048.232999999978</v>
      </c>
      <c r="AI70" s="125">
        <f t="shared" si="3"/>
        <v>715530.56299999973</v>
      </c>
      <c r="AJ70" s="125">
        <f>Valores!$C$32</f>
        <v>70000</v>
      </c>
      <c r="AK70" s="125">
        <v>0</v>
      </c>
      <c r="AL70" s="125">
        <f>Valores!$C$90</f>
        <v>0</v>
      </c>
      <c r="AM70" s="125">
        <f>Valores!C$39*B70</f>
        <v>0</v>
      </c>
      <c r="AN70" s="125">
        <f>IF($F$3="NO",0,Valores!$C$57)</f>
        <v>0</v>
      </c>
      <c r="AO70" s="125">
        <f t="shared" si="4"/>
        <v>70000</v>
      </c>
      <c r="AP70" s="125">
        <f>AI70*Valores!$C$72</f>
        <v>-78708.36192999997</v>
      </c>
      <c r="AQ70" s="125">
        <f>IF(AI70&lt;Valores!$E$73,-0.02,IF(AI70&lt;Valores!$F$73,-0.03,-0.04))*AI70</f>
        <v>-14310.611259999994</v>
      </c>
      <c r="AR70" s="125">
        <f>AI70*Valores!$C$75</f>
        <v>-39354.180964999985</v>
      </c>
      <c r="AS70" s="125">
        <f>Valores!$C$102</f>
        <v>-1270.1600000000001</v>
      </c>
      <c r="AT70" s="125">
        <f>IF($F$5=0,Valores!$C$103,(Valores!$C$103+$F$5*(Valores!$C$103)))</f>
        <v>-3700</v>
      </c>
      <c r="AU70" s="125">
        <f t="shared" si="6"/>
        <v>648187.24884499982</v>
      </c>
      <c r="AV70" s="125">
        <f t="shared" si="0"/>
        <v>-78708.36192999997</v>
      </c>
      <c r="AW70" s="125">
        <f t="shared" si="7"/>
        <v>-14310.611259999994</v>
      </c>
      <c r="AX70" s="125">
        <f>AI70*Valores!$C$76</f>
        <v>-19319.325200999992</v>
      </c>
      <c r="AY70" s="125">
        <f>AI70*Valores!$C$77</f>
        <v>-2146.5916889999994</v>
      </c>
      <c r="AZ70" s="125">
        <f t="shared" si="5"/>
        <v>671045.67291999981</v>
      </c>
      <c r="BA70" s="125">
        <f>AI70*Valores!$C$79</f>
        <v>114484.89007999995</v>
      </c>
      <c r="BB70" s="125">
        <f>AI70*Valores!$C$80</f>
        <v>50087.139409999989</v>
      </c>
      <c r="BC70" s="125">
        <f>AI70*Valores!$C$81</f>
        <v>7155.3056299999971</v>
      </c>
      <c r="BD70" s="125">
        <f>AI70*Valores!$C$83</f>
        <v>25043.569704999994</v>
      </c>
      <c r="BE70" s="125">
        <f>AI70*Valores!$C$85</f>
        <v>38638.650401999985</v>
      </c>
      <c r="BF70" s="125">
        <f>AI70*Valores!$C$84</f>
        <v>4293.1833779999988</v>
      </c>
      <c r="BG70" s="126"/>
      <c r="BH70" s="126"/>
      <c r="BI70" s="123" t="s">
        <v>4</v>
      </c>
    </row>
    <row r="71" spans="1:61" s="110" customFormat="1" ht="11.25" customHeight="1" x14ac:dyDescent="0.15">
      <c r="A71" s="123" t="s">
        <v>230</v>
      </c>
      <c r="B71" s="123">
        <v>1</v>
      </c>
      <c r="C71" s="126">
        <v>64</v>
      </c>
      <c r="D71" s="124" t="s">
        <v>231</v>
      </c>
      <c r="E71" s="192">
        <v>78</v>
      </c>
      <c r="F71" s="125">
        <f>ROUND(E71*Valores!$C$2,2)</f>
        <v>6052.54</v>
      </c>
      <c r="G71" s="192">
        <v>2162</v>
      </c>
      <c r="H71" s="125">
        <f>ROUND(G71*Valores!$C$2,2)</f>
        <v>167764.07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59955.19</v>
      </c>
      <c r="N71" s="125">
        <f t="shared" si="1"/>
        <v>0</v>
      </c>
      <c r="O71" s="125">
        <f>Valores!$C$9</f>
        <v>97503.47</v>
      </c>
      <c r="P71" s="125">
        <f>Valores!$D$5</f>
        <v>39667.43</v>
      </c>
      <c r="Q71" s="125">
        <f>Valores!$C$22</f>
        <v>35387.42</v>
      </c>
      <c r="R71" s="125">
        <f>IF($F$4="NO",Valores!$C$46,Valores!$C$46/2)</f>
        <v>29095.32</v>
      </c>
      <c r="S71" s="125">
        <f>Valores!$C$19</f>
        <v>36908.81</v>
      </c>
      <c r="T71" s="125">
        <f t="shared" si="8"/>
        <v>36908.81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Valores!$C$97</f>
        <v>65179.040000000001</v>
      </c>
      <c r="AA71" s="125">
        <f>Valores!$C$25</f>
        <v>1622.32</v>
      </c>
      <c r="AB71" s="214">
        <v>0</v>
      </c>
      <c r="AC71" s="125">
        <f t="shared" si="2"/>
        <v>0</v>
      </c>
      <c r="AD71" s="125">
        <f>Valores!$C$26</f>
        <v>1622.32</v>
      </c>
      <c r="AE71" s="192">
        <v>0</v>
      </c>
      <c r="AF71" s="125">
        <f>ROUND(AE71*Valores!$C$2,2)</f>
        <v>0</v>
      </c>
      <c r="AG71" s="125">
        <f>ROUND(IF($F$4="NO",Valores!$C$64,Valores!$C$64/2),2)</f>
        <v>18547.32</v>
      </c>
      <c r="AH71" s="125">
        <f>SUM(F71,H71,J71,L71,M71,N71,O71,P71,Q71,R71,T71,U71,V71,X71,Y71,Z71,AA71,AC71,AD71,AF71,AG71)*Valores!$C$104</f>
        <v>55930.524999999994</v>
      </c>
      <c r="AI71" s="125">
        <f t="shared" si="3"/>
        <v>615235.77499999991</v>
      </c>
      <c r="AJ71" s="125">
        <f>Valores!$C$31</f>
        <v>35000</v>
      </c>
      <c r="AK71" s="125">
        <v>0</v>
      </c>
      <c r="AL71" s="125">
        <f>Valores!$C$90</f>
        <v>0</v>
      </c>
      <c r="AM71" s="125">
        <f>Valores!C$39*B71</f>
        <v>0</v>
      </c>
      <c r="AN71" s="125">
        <f>IF($F$3="NO",0,Valores!$C$57)</f>
        <v>0</v>
      </c>
      <c r="AO71" s="125">
        <f t="shared" si="4"/>
        <v>35000</v>
      </c>
      <c r="AP71" s="125">
        <f>AI71*Valores!$C$72</f>
        <v>-67675.935249999995</v>
      </c>
      <c r="AQ71" s="125">
        <f>IF(AI71&lt;Valores!$E$73,-0.02,IF(AI71&lt;Valores!$F$73,-0.03,-0.04))*AI71</f>
        <v>-12304.715499999998</v>
      </c>
      <c r="AR71" s="125">
        <f>AI71*Valores!$C$75</f>
        <v>-33837.967624999997</v>
      </c>
      <c r="AS71" s="125">
        <f>Valores!$C$102</f>
        <v>-1270.1600000000001</v>
      </c>
      <c r="AT71" s="125">
        <f>IF($F$5=0,Valores!$C$103,(Valores!$C$103+$F$5*(Valores!$C$103)))</f>
        <v>-3700</v>
      </c>
      <c r="AU71" s="125">
        <f t="shared" si="6"/>
        <v>531446.99662499991</v>
      </c>
      <c r="AV71" s="125">
        <f t="shared" ref="AV71:AV133" si="11">AP71</f>
        <v>-67675.935249999995</v>
      </c>
      <c r="AW71" s="125">
        <f t="shared" si="7"/>
        <v>-12304.715499999998</v>
      </c>
      <c r="AX71" s="125">
        <f>AI71*Valores!$C$76</f>
        <v>-16611.365924999998</v>
      </c>
      <c r="AY71" s="125">
        <f>AI71*Valores!$C$77</f>
        <v>-1845.7073249999999</v>
      </c>
      <c r="AZ71" s="125">
        <f t="shared" si="5"/>
        <v>551798.05099999998</v>
      </c>
      <c r="BA71" s="125">
        <f>AI71*Valores!$C$79</f>
        <v>98437.723999999987</v>
      </c>
      <c r="BB71" s="125">
        <f>AI71*Valores!$C$80</f>
        <v>43066.504249999998</v>
      </c>
      <c r="BC71" s="125">
        <f>AI71*Valores!$C$81</f>
        <v>6152.3577499999992</v>
      </c>
      <c r="BD71" s="125">
        <f>AI71*Valores!$C$83</f>
        <v>21533.252124999999</v>
      </c>
      <c r="BE71" s="125">
        <f>AI71*Valores!$C$85</f>
        <v>33222.731849999996</v>
      </c>
      <c r="BF71" s="125">
        <f>AI71*Valores!$C$84</f>
        <v>3691.4146499999997</v>
      </c>
      <c r="BG71" s="126"/>
      <c r="BH71" s="126">
        <v>25</v>
      </c>
      <c r="BI71" s="123" t="s">
        <v>4</v>
      </c>
    </row>
    <row r="72" spans="1:61" s="110" customFormat="1" ht="11.25" customHeight="1" x14ac:dyDescent="0.15">
      <c r="A72" s="123" t="s">
        <v>232</v>
      </c>
      <c r="B72" s="123">
        <v>1</v>
      </c>
      <c r="C72" s="126">
        <v>65</v>
      </c>
      <c r="D72" s="124" t="s">
        <v>233</v>
      </c>
      <c r="E72" s="192">
        <v>90</v>
      </c>
      <c r="F72" s="125">
        <f>ROUND(E72*Valores!$C$2,2)</f>
        <v>6983.7</v>
      </c>
      <c r="G72" s="192">
        <v>2800</v>
      </c>
      <c r="H72" s="125">
        <f>ROUND(G72*Valores!$C$2,2)</f>
        <v>217270.76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74116.78</v>
      </c>
      <c r="N72" s="125">
        <f t="shared" ref="N72:N135" si="12">ROUND(SUM(F72,H72,J72,L72,X72,R72)*$H$2,2)</f>
        <v>0</v>
      </c>
      <c r="O72" s="125">
        <f>Valores!$C$9</f>
        <v>97503.47</v>
      </c>
      <c r="P72" s="125">
        <f>Valores!$D$5</f>
        <v>39667.43</v>
      </c>
      <c r="Q72" s="125">
        <v>0</v>
      </c>
      <c r="R72" s="125">
        <f>IF($F$4="NO",Valores!$C$49,Valores!$C$49/2)</f>
        <v>35303.83</v>
      </c>
      <c r="S72" s="125">
        <f>Valores!$C$19</f>
        <v>36908.81</v>
      </c>
      <c r="T72" s="125">
        <f t="shared" si="8"/>
        <v>36908.81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Valores!$C$97</f>
        <v>65179.040000000001</v>
      </c>
      <c r="AA72" s="125">
        <f>Valores!$C$25</f>
        <v>1622.32</v>
      </c>
      <c r="AB72" s="214">
        <v>0</v>
      </c>
      <c r="AC72" s="125">
        <f t="shared" ref="AC72:AC135" si="13">ROUND(SUM(F72,H72,J72,X72,R72)*AB72,2)</f>
        <v>0</v>
      </c>
      <c r="AD72" s="125">
        <f>Valores!$C$26</f>
        <v>1622.32</v>
      </c>
      <c r="AE72" s="192">
        <v>0</v>
      </c>
      <c r="AF72" s="125">
        <f>ROUND(AE72*Valores!$C$2,2)</f>
        <v>0</v>
      </c>
      <c r="AG72" s="125">
        <f>ROUND(IF($F$4="NO",Valores!$C$64,Valores!$C$64/2),2)</f>
        <v>18547.32</v>
      </c>
      <c r="AH72" s="125">
        <f>SUM(F72,H72,J72,L72,M72,N72,O72,P72,Q72,R72,T72,U72,V72,X72,Y72,Z72,AA72,AC72,AD72,AF72,AG72)*Valores!$C$104</f>
        <v>59472.57799999998</v>
      </c>
      <c r="AI72" s="125">
        <f t="shared" si="3"/>
        <v>654198.35799999977</v>
      </c>
      <c r="AJ72" s="125">
        <f>Valores!$C$31</f>
        <v>35000</v>
      </c>
      <c r="AK72" s="125">
        <v>0</v>
      </c>
      <c r="AL72" s="125">
        <f>Valores!$C$90</f>
        <v>0</v>
      </c>
      <c r="AM72" s="125">
        <f>Valores!C$39*B72</f>
        <v>0</v>
      </c>
      <c r="AN72" s="125">
        <f>IF($F$3="NO",0,Valores!$C$57)</f>
        <v>0</v>
      </c>
      <c r="AO72" s="125">
        <f t="shared" ref="AO72:AO135" si="14">SUM(AJ72:AN72)</f>
        <v>35000</v>
      </c>
      <c r="AP72" s="125">
        <f>AI72*Valores!$C$72</f>
        <v>-71961.819379999972</v>
      </c>
      <c r="AQ72" s="125">
        <f>IF(AI72&lt;Valores!$E$73,-0.02,IF(AI72&lt;Valores!$F$73,-0.03,-0.04))*AI72</f>
        <v>-13083.967159999997</v>
      </c>
      <c r="AR72" s="125">
        <f>AI72*Valores!$C$75</f>
        <v>-35980.909689999986</v>
      </c>
      <c r="AS72" s="125">
        <f>Valores!$C$102</f>
        <v>-1270.1600000000001</v>
      </c>
      <c r="AT72" s="125">
        <f>IF($F$5=0,Valores!$C$103,(Valores!$C$103+$F$5*(Valores!$C$103)))</f>
        <v>-3700</v>
      </c>
      <c r="AU72" s="125">
        <f t="shared" si="6"/>
        <v>563201.50176999986</v>
      </c>
      <c r="AV72" s="125">
        <f t="shared" si="11"/>
        <v>-71961.819379999972</v>
      </c>
      <c r="AW72" s="125">
        <f t="shared" si="7"/>
        <v>-13083.967159999997</v>
      </c>
      <c r="AX72" s="125">
        <f>AI72*Valores!$C$76</f>
        <v>-17663.355665999992</v>
      </c>
      <c r="AY72" s="125">
        <f>AI72*Valores!$C$77</f>
        <v>-1962.5950739999994</v>
      </c>
      <c r="AZ72" s="125">
        <f t="shared" ref="AZ72:AZ135" si="15">AI72+AO72+SUM(AV72:AY72)</f>
        <v>584526.62071999977</v>
      </c>
      <c r="BA72" s="125">
        <f>AI72*Valores!$C$79</f>
        <v>104671.73727999997</v>
      </c>
      <c r="BB72" s="125">
        <f>AI72*Valores!$C$80</f>
        <v>45793.885059999986</v>
      </c>
      <c r="BC72" s="125">
        <f>AI72*Valores!$C$81</f>
        <v>6541.9835799999983</v>
      </c>
      <c r="BD72" s="125">
        <f>AI72*Valores!$C$83</f>
        <v>22896.942529999993</v>
      </c>
      <c r="BE72" s="125">
        <f>AI72*Valores!$C$85</f>
        <v>35326.711331999984</v>
      </c>
      <c r="BF72" s="125">
        <f>AI72*Valores!$C$84</f>
        <v>3925.1901479999988</v>
      </c>
      <c r="BG72" s="126"/>
      <c r="BH72" s="126"/>
      <c r="BI72" s="123" t="s">
        <v>8</v>
      </c>
    </row>
    <row r="73" spans="1:61" s="110" customFormat="1" ht="11.25" customHeight="1" x14ac:dyDescent="0.15">
      <c r="A73" s="123" t="s">
        <v>234</v>
      </c>
      <c r="B73" s="123">
        <v>1</v>
      </c>
      <c r="C73" s="126">
        <v>66</v>
      </c>
      <c r="D73" s="124" t="s">
        <v>235</v>
      </c>
      <c r="E73" s="192">
        <v>79</v>
      </c>
      <c r="F73" s="125">
        <f>ROUND(E73*Valores!$C$2,2)</f>
        <v>6130.14</v>
      </c>
      <c r="G73" s="192">
        <v>2161</v>
      </c>
      <c r="H73" s="125">
        <f>ROUND(G73*Valores!$C$2,2)</f>
        <v>167686.47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59955.19</v>
      </c>
      <c r="N73" s="125">
        <f t="shared" si="12"/>
        <v>0</v>
      </c>
      <c r="O73" s="125">
        <f>Valores!$C$9</f>
        <v>97503.47</v>
      </c>
      <c r="P73" s="125">
        <f>Valores!$D$5</f>
        <v>39667.43</v>
      </c>
      <c r="Q73" s="125">
        <f>Valores!$C$22</f>
        <v>35387.42</v>
      </c>
      <c r="R73" s="125">
        <f>IF($F$4="NO",Valores!$C$46,Valores!$C$46/2)</f>
        <v>29095.32</v>
      </c>
      <c r="S73" s="125">
        <f>Valores!$C$19</f>
        <v>36908.81</v>
      </c>
      <c r="T73" s="125">
        <f t="shared" si="8"/>
        <v>36908.81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Valores!$C$97</f>
        <v>65179.040000000001</v>
      </c>
      <c r="AA73" s="125">
        <f>Valores!$C$25</f>
        <v>1622.32</v>
      </c>
      <c r="AB73" s="214">
        <v>0</v>
      </c>
      <c r="AC73" s="125">
        <f t="shared" si="13"/>
        <v>0</v>
      </c>
      <c r="AD73" s="125">
        <f>Valores!$C$26</f>
        <v>1622.32</v>
      </c>
      <c r="AE73" s="192">
        <v>0</v>
      </c>
      <c r="AF73" s="125">
        <f>ROUND(AE73*Valores!$C$2,2)</f>
        <v>0</v>
      </c>
      <c r="AG73" s="125">
        <f>ROUND(IF($F$4="NO",Valores!$C$64,Valores!$C$64/2),2)</f>
        <v>18547.32</v>
      </c>
      <c r="AH73" s="125">
        <f>SUM(F73,H73,J73,L73,M73,N73,O73,P73,Q73,R73,T73,U73,V73,X73,Y73,Z73,AA73,AC73,AD73,AF73,AG73)*Valores!$C$104</f>
        <v>55930.524999999994</v>
      </c>
      <c r="AI73" s="125">
        <f t="shared" ref="AI73:AI136" si="16">SUM(F73,H73,J73,L73,M73,N73,O73,P73,Q73,R73,T73,U73,V73,X73,Y73,Z73,AA73,AC73,AD73,AF73,AG73,AH73)</f>
        <v>615235.77499999991</v>
      </c>
      <c r="AJ73" s="125">
        <f>Valores!$C$31</f>
        <v>35000</v>
      </c>
      <c r="AK73" s="125">
        <v>0</v>
      </c>
      <c r="AL73" s="125">
        <f>Valores!$C$90</f>
        <v>0</v>
      </c>
      <c r="AM73" s="125">
        <f>Valores!C$39*B73</f>
        <v>0</v>
      </c>
      <c r="AN73" s="125">
        <f>IF($F$3="NO",0,Valores!$C$57)</f>
        <v>0</v>
      </c>
      <c r="AO73" s="125">
        <f t="shared" si="14"/>
        <v>35000</v>
      </c>
      <c r="AP73" s="125">
        <f>AI73*Valores!$C$72</f>
        <v>-67675.935249999995</v>
      </c>
      <c r="AQ73" s="125">
        <f>IF(AI73&lt;Valores!$E$73,-0.02,IF(AI73&lt;Valores!$F$73,-0.03,-0.04))*AI73</f>
        <v>-12304.715499999998</v>
      </c>
      <c r="AR73" s="125">
        <f>AI73*Valores!$C$75</f>
        <v>-33837.967624999997</v>
      </c>
      <c r="AS73" s="125">
        <f>Valores!$C$102</f>
        <v>-1270.1600000000001</v>
      </c>
      <c r="AT73" s="125">
        <f>IF($F$5=0,Valores!$C$103,(Valores!$C$103+$F$5*(Valores!$C$103)))</f>
        <v>-3700</v>
      </c>
      <c r="AU73" s="125">
        <f t="shared" ref="AU73:AU136" si="17">AI73+SUM(AO73:AT73)</f>
        <v>531446.99662499991</v>
      </c>
      <c r="AV73" s="125">
        <f t="shared" si="11"/>
        <v>-67675.935249999995</v>
      </c>
      <c r="AW73" s="125">
        <f t="shared" ref="AW73:AW136" si="18">AQ73</f>
        <v>-12304.715499999998</v>
      </c>
      <c r="AX73" s="125">
        <f>AI73*Valores!$C$76</f>
        <v>-16611.365924999998</v>
      </c>
      <c r="AY73" s="125">
        <f>AI73*Valores!$C$77</f>
        <v>-1845.7073249999999</v>
      </c>
      <c r="AZ73" s="125">
        <f t="shared" si="15"/>
        <v>551798.05099999998</v>
      </c>
      <c r="BA73" s="125">
        <f>AI73*Valores!$C$79</f>
        <v>98437.723999999987</v>
      </c>
      <c r="BB73" s="125">
        <f>AI73*Valores!$C$80</f>
        <v>43066.504249999998</v>
      </c>
      <c r="BC73" s="125">
        <f>AI73*Valores!$C$81</f>
        <v>6152.3577499999992</v>
      </c>
      <c r="BD73" s="125">
        <f>AI73*Valores!$C$83</f>
        <v>21533.252124999999</v>
      </c>
      <c r="BE73" s="125">
        <f>AI73*Valores!$C$85</f>
        <v>33222.731849999996</v>
      </c>
      <c r="BF73" s="125">
        <f>AI73*Valores!$C$84</f>
        <v>3691.4146499999997</v>
      </c>
      <c r="BG73" s="126"/>
      <c r="BH73" s="126">
        <v>30</v>
      </c>
      <c r="BI73" s="123" t="s">
        <v>4</v>
      </c>
    </row>
    <row r="74" spans="1:61" s="110" customFormat="1" ht="11.25" customHeight="1" x14ac:dyDescent="0.15">
      <c r="A74" s="123" t="s">
        <v>236</v>
      </c>
      <c r="B74" s="123">
        <v>1</v>
      </c>
      <c r="C74" s="126">
        <v>67</v>
      </c>
      <c r="D74" s="124" t="s">
        <v>237</v>
      </c>
      <c r="E74" s="192">
        <v>90</v>
      </c>
      <c r="F74" s="125">
        <f>ROUND(E74*Valores!$C$2,2)</f>
        <v>6983.7</v>
      </c>
      <c r="G74" s="192">
        <v>2720</v>
      </c>
      <c r="H74" s="125">
        <f>ROUND(G74*Valores!$C$2,2)</f>
        <v>211063.02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72564.84</v>
      </c>
      <c r="N74" s="125">
        <f t="shared" si="12"/>
        <v>0</v>
      </c>
      <c r="O74" s="125">
        <f>Valores!$C$9</f>
        <v>97503.47</v>
      </c>
      <c r="P74" s="125">
        <f>Valores!$D$5</f>
        <v>39667.43</v>
      </c>
      <c r="Q74" s="125">
        <v>0</v>
      </c>
      <c r="R74" s="125">
        <f>IF($F$4="NO",Valores!$C$49,Valores!$C$478/2)</f>
        <v>35303.83</v>
      </c>
      <c r="S74" s="125">
        <f>Valores!$C$19</f>
        <v>36908.81</v>
      </c>
      <c r="T74" s="125">
        <f t="shared" si="8"/>
        <v>36908.81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Valores!$C$97</f>
        <v>65179.040000000001</v>
      </c>
      <c r="AA74" s="125">
        <f>Valores!$C$25</f>
        <v>1622.32</v>
      </c>
      <c r="AB74" s="214">
        <v>0</v>
      </c>
      <c r="AC74" s="125">
        <f t="shared" si="13"/>
        <v>0</v>
      </c>
      <c r="AD74" s="125">
        <f>Valores!$C$26</f>
        <v>1622.32</v>
      </c>
      <c r="AE74" s="192">
        <v>0</v>
      </c>
      <c r="AF74" s="125">
        <f>ROUND(AE74*Valores!$C$2,2)</f>
        <v>0</v>
      </c>
      <c r="AG74" s="125">
        <f>ROUND(IF($F$4="NO",Valores!$C$64,Valores!$C$64/2),2)</f>
        <v>18547.32</v>
      </c>
      <c r="AH74" s="125">
        <f>SUM(F74,H74,J74,L74,M74,N74,O74,P74,Q74,R74,T74,U74,V74,X74,Y74,Z74,AA74,AC74,AD74,AF74,AG74)*Valores!$C$104</f>
        <v>58696.609999999986</v>
      </c>
      <c r="AI74" s="125">
        <f t="shared" si="16"/>
        <v>645662.70999999985</v>
      </c>
      <c r="AJ74" s="125">
        <f>Valores!$C$31</f>
        <v>35000</v>
      </c>
      <c r="AK74" s="125">
        <v>0</v>
      </c>
      <c r="AL74" s="125">
        <f>Valores!$C$90</f>
        <v>0</v>
      </c>
      <c r="AM74" s="125">
        <f>Valores!C$39*B74</f>
        <v>0</v>
      </c>
      <c r="AN74" s="125">
        <f>IF($F$3="NO",0,Valores!$C$57)</f>
        <v>0</v>
      </c>
      <c r="AO74" s="125">
        <f t="shared" si="14"/>
        <v>35000</v>
      </c>
      <c r="AP74" s="125">
        <f>AI74*Valores!$C$72</f>
        <v>-71022.898099999977</v>
      </c>
      <c r="AQ74" s="125">
        <f>IF(AI74&lt;Valores!$E$73,-0.02,IF(AI74&lt;Valores!$F$73,-0.03,-0.04))*AI74</f>
        <v>-12913.254199999998</v>
      </c>
      <c r="AR74" s="125">
        <f>AI74*Valores!$C$75</f>
        <v>-35511.449049999988</v>
      </c>
      <c r="AS74" s="125">
        <f>Valores!$C$102</f>
        <v>-1270.1600000000001</v>
      </c>
      <c r="AT74" s="125">
        <f>IF($F$5=0,Valores!$C$103,(Valores!$C$103+$F$5*(Valores!$C$103)))</f>
        <v>-3700</v>
      </c>
      <c r="AU74" s="125">
        <f t="shared" si="17"/>
        <v>556244.94864999992</v>
      </c>
      <c r="AV74" s="125">
        <f t="shared" si="11"/>
        <v>-71022.898099999977</v>
      </c>
      <c r="AW74" s="125">
        <f t="shared" si="18"/>
        <v>-12913.254199999998</v>
      </c>
      <c r="AX74" s="125">
        <f>AI74*Valores!$C$76</f>
        <v>-17432.893169999996</v>
      </c>
      <c r="AY74" s="125">
        <f>AI74*Valores!$C$77</f>
        <v>-1936.9881299999995</v>
      </c>
      <c r="AZ74" s="125">
        <f t="shared" si="15"/>
        <v>577356.67639999988</v>
      </c>
      <c r="BA74" s="125">
        <f>AI74*Valores!$C$79</f>
        <v>103306.03359999998</v>
      </c>
      <c r="BB74" s="125">
        <f>AI74*Valores!$C$80</f>
        <v>45196.389699999992</v>
      </c>
      <c r="BC74" s="125">
        <f>AI74*Valores!$C$81</f>
        <v>6456.6270999999988</v>
      </c>
      <c r="BD74" s="125">
        <f>AI74*Valores!$C$83</f>
        <v>22598.194849999996</v>
      </c>
      <c r="BE74" s="125">
        <f>AI74*Valores!$C$85</f>
        <v>34865.786339999991</v>
      </c>
      <c r="BF74" s="125">
        <f>AI74*Valores!$C$84</f>
        <v>3873.976259999999</v>
      </c>
      <c r="BG74" s="126"/>
      <c r="BH74" s="126"/>
      <c r="BI74" s="123" t="s">
        <v>8</v>
      </c>
    </row>
    <row r="75" spans="1:61" s="110" customFormat="1" ht="11.25" customHeight="1" x14ac:dyDescent="0.15">
      <c r="A75" s="123" t="s">
        <v>238</v>
      </c>
      <c r="B75" s="123">
        <v>1</v>
      </c>
      <c r="C75" s="126">
        <v>68</v>
      </c>
      <c r="D75" s="124" t="s">
        <v>239</v>
      </c>
      <c r="E75" s="192">
        <v>78</v>
      </c>
      <c r="F75" s="125">
        <f>ROUND(E75*Valores!$C$2,2)</f>
        <v>6052.54</v>
      </c>
      <c r="G75" s="192">
        <v>1284</v>
      </c>
      <c r="H75" s="125">
        <f>ROUND(G75*Valores!$C$2,2)</f>
        <v>99634.16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42443.25</v>
      </c>
      <c r="N75" s="125">
        <f t="shared" si="12"/>
        <v>0</v>
      </c>
      <c r="O75" s="125">
        <f>Valores!$C$8</f>
        <v>97252.17</v>
      </c>
      <c r="P75" s="125">
        <f>Valores!$D$5</f>
        <v>39667.43</v>
      </c>
      <c r="Q75" s="125">
        <f>Valores!$C$22</f>
        <v>35387.42</v>
      </c>
      <c r="R75" s="125">
        <f>IF($F$4="NO",Valores!$C$45,Valores!$C$45/2)</f>
        <v>27554.83</v>
      </c>
      <c r="S75" s="125">
        <f>Valores!$C$20</f>
        <v>36531.46</v>
      </c>
      <c r="T75" s="125">
        <f t="shared" ref="T75:T138" si="19">ROUND(S75*(1+$H$2),2)</f>
        <v>36531.46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Valores!$C$96</f>
        <v>54315.88</v>
      </c>
      <c r="AA75" s="125">
        <f>Valores!$C$25</f>
        <v>1622.32</v>
      </c>
      <c r="AB75" s="214">
        <v>0</v>
      </c>
      <c r="AC75" s="125">
        <f t="shared" si="13"/>
        <v>0</v>
      </c>
      <c r="AD75" s="125">
        <f>Valores!$C$26</f>
        <v>1622.32</v>
      </c>
      <c r="AE75" s="192">
        <v>0</v>
      </c>
      <c r="AF75" s="125">
        <f>ROUND(AE75*Valores!$C$2,2)</f>
        <v>0</v>
      </c>
      <c r="AG75" s="125">
        <f>ROUND(IF($F$4="NO",Valores!$C$64,Valores!$C$64/2),2)</f>
        <v>18547.32</v>
      </c>
      <c r="AH75" s="125">
        <f>SUM(F75,H75,J75,L75,M75,N75,O75,P75,Q75,R75,T75,U75,V75,X75,Y75,Z75,AA75,AC75,AD75,AF75,AG75)*Valores!$C$104</f>
        <v>46063.110000000008</v>
      </c>
      <c r="AI75" s="125">
        <f t="shared" si="16"/>
        <v>506694.21</v>
      </c>
      <c r="AJ75" s="125">
        <f>Valores!$C$31</f>
        <v>35000</v>
      </c>
      <c r="AK75" s="125">
        <v>0</v>
      </c>
      <c r="AL75" s="125">
        <f>Valores!$C$89</f>
        <v>0</v>
      </c>
      <c r="AM75" s="125">
        <f>Valores!C$39*B75</f>
        <v>0</v>
      </c>
      <c r="AN75" s="125">
        <f>IF($F$3="NO",0,Valores!$C$57)</f>
        <v>0</v>
      </c>
      <c r="AO75" s="125">
        <f t="shared" si="14"/>
        <v>35000</v>
      </c>
      <c r="AP75" s="125">
        <f>AI75*Valores!$C$72</f>
        <v>-55736.363100000002</v>
      </c>
      <c r="AQ75" s="125">
        <f>IF(AI75&lt;Valores!$E$73,-0.02,IF(AI75&lt;Valores!$F$73,-0.03,-0.04))*AI75</f>
        <v>-10133.8842</v>
      </c>
      <c r="AR75" s="125">
        <f>AI75*Valores!$C$75</f>
        <v>-27868.181550000001</v>
      </c>
      <c r="AS75" s="125">
        <f>Valores!$C$102</f>
        <v>-1270.1600000000001</v>
      </c>
      <c r="AT75" s="125">
        <f>IF($F$5=0,Valores!$C$103,(Valores!$C$103+$F$5*(Valores!$C$103)))</f>
        <v>-3700</v>
      </c>
      <c r="AU75" s="125">
        <f t="shared" si="17"/>
        <v>442985.62115000002</v>
      </c>
      <c r="AV75" s="125">
        <f t="shared" si="11"/>
        <v>-55736.363100000002</v>
      </c>
      <c r="AW75" s="125">
        <f t="shared" si="18"/>
        <v>-10133.8842</v>
      </c>
      <c r="AX75" s="125">
        <f>AI75*Valores!$C$76</f>
        <v>-13680.74367</v>
      </c>
      <c r="AY75" s="125">
        <f>AI75*Valores!$C$77</f>
        <v>-1520.0826300000001</v>
      </c>
      <c r="AZ75" s="125">
        <f t="shared" si="15"/>
        <v>460623.13639999996</v>
      </c>
      <c r="BA75" s="125">
        <f>AI75*Valores!$C$79</f>
        <v>81071.073600000003</v>
      </c>
      <c r="BB75" s="125">
        <f>AI75*Valores!$C$80</f>
        <v>35468.594700000001</v>
      </c>
      <c r="BC75" s="125">
        <f>AI75*Valores!$C$81</f>
        <v>5066.9421000000002</v>
      </c>
      <c r="BD75" s="125">
        <f>AI75*Valores!$C$83</f>
        <v>17734.297350000001</v>
      </c>
      <c r="BE75" s="125">
        <f>AI75*Valores!$C$85</f>
        <v>27361.48734</v>
      </c>
      <c r="BF75" s="125">
        <f>AI75*Valores!$C$84</f>
        <v>3040.1652600000002</v>
      </c>
      <c r="BG75" s="126"/>
      <c r="BH75" s="126">
        <v>30</v>
      </c>
      <c r="BI75" s="123" t="s">
        <v>4</v>
      </c>
    </row>
    <row r="76" spans="1:61" s="110" customFormat="1" ht="11.25" customHeight="1" x14ac:dyDescent="0.15">
      <c r="A76" s="123" t="s">
        <v>240</v>
      </c>
      <c r="B76" s="123">
        <v>1</v>
      </c>
      <c r="C76" s="126">
        <v>69</v>
      </c>
      <c r="D76" s="124" t="s">
        <v>241</v>
      </c>
      <c r="E76" s="192">
        <v>78</v>
      </c>
      <c r="F76" s="125">
        <f>ROUND(E76*Valores!$C$2,2)</f>
        <v>6052.54</v>
      </c>
      <c r="G76" s="192">
        <v>1284</v>
      </c>
      <c r="H76" s="125">
        <f>ROUND(G76*Valores!$C$2,2)</f>
        <v>99634.16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42443.25</v>
      </c>
      <c r="N76" s="125">
        <f t="shared" si="12"/>
        <v>0</v>
      </c>
      <c r="O76" s="125">
        <f>Valores!$C$8</f>
        <v>97252.17</v>
      </c>
      <c r="P76" s="125">
        <f>Valores!$D$5</f>
        <v>39667.43</v>
      </c>
      <c r="Q76" s="125">
        <f>Valores!$C$22</f>
        <v>35387.42</v>
      </c>
      <c r="R76" s="125">
        <f>IF($F$4="NO",Valores!$C$45,Valores!$C$45/2)</f>
        <v>27554.83</v>
      </c>
      <c r="S76" s="125">
        <f>Valores!$C$20</f>
        <v>36531.46</v>
      </c>
      <c r="T76" s="125">
        <f t="shared" si="19"/>
        <v>36531.46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Valores!$C$96</f>
        <v>54315.88</v>
      </c>
      <c r="AA76" s="125">
        <f>Valores!$C$25</f>
        <v>1622.32</v>
      </c>
      <c r="AB76" s="214">
        <v>0</v>
      </c>
      <c r="AC76" s="125">
        <f t="shared" si="13"/>
        <v>0</v>
      </c>
      <c r="AD76" s="125">
        <f>Valores!$C$26</f>
        <v>1622.32</v>
      </c>
      <c r="AE76" s="192">
        <v>0</v>
      </c>
      <c r="AF76" s="125">
        <f>ROUND(AE76*Valores!$C$2,2)</f>
        <v>0</v>
      </c>
      <c r="AG76" s="125">
        <f>ROUND(IF($F$4="NO",Valores!$C$64,Valores!$C$64/2),2)</f>
        <v>18547.32</v>
      </c>
      <c r="AH76" s="125">
        <f>SUM(F76,H76,J76,L76,M76,N76,O76,P76,Q76,R76,T76,U76,V76,X76,Y76,Z76,AA76,AC76,AD76,AF76,AG76)*Valores!$C$104</f>
        <v>46063.110000000008</v>
      </c>
      <c r="AI76" s="125">
        <f t="shared" si="16"/>
        <v>506694.21</v>
      </c>
      <c r="AJ76" s="125">
        <f>Valores!$C$31</f>
        <v>35000</v>
      </c>
      <c r="AK76" s="125">
        <v>0</v>
      </c>
      <c r="AL76" s="125">
        <f>Valores!$C$89</f>
        <v>0</v>
      </c>
      <c r="AM76" s="125">
        <f>Valores!C$39*B76</f>
        <v>0</v>
      </c>
      <c r="AN76" s="125">
        <v>0</v>
      </c>
      <c r="AO76" s="125">
        <f t="shared" si="14"/>
        <v>35000</v>
      </c>
      <c r="AP76" s="125">
        <f>AI76*Valores!$C$72</f>
        <v>-55736.363100000002</v>
      </c>
      <c r="AQ76" s="125">
        <f>IF(AI76&lt;Valores!$E$73,-0.02,IF(AI76&lt;Valores!$F$73,-0.03,-0.04))*AI76</f>
        <v>-10133.8842</v>
      </c>
      <c r="AR76" s="125">
        <f>AI76*Valores!$C$75</f>
        <v>-27868.181550000001</v>
      </c>
      <c r="AS76" s="125">
        <f>Valores!$C$102</f>
        <v>-1270.1600000000001</v>
      </c>
      <c r="AT76" s="125">
        <f>IF($F$5=0,Valores!$C$103,(Valores!$C$103+$F$5*(Valores!$C$103)))</f>
        <v>-3700</v>
      </c>
      <c r="AU76" s="125">
        <f t="shared" si="17"/>
        <v>442985.62115000002</v>
      </c>
      <c r="AV76" s="125">
        <f t="shared" si="11"/>
        <v>-55736.363100000002</v>
      </c>
      <c r="AW76" s="125">
        <f t="shared" si="18"/>
        <v>-10133.8842</v>
      </c>
      <c r="AX76" s="125">
        <f>AI76*Valores!$C$76</f>
        <v>-13680.74367</v>
      </c>
      <c r="AY76" s="125">
        <f>AI76*Valores!$C$77</f>
        <v>-1520.0826300000001</v>
      </c>
      <c r="AZ76" s="125">
        <f t="shared" si="15"/>
        <v>460623.13639999996</v>
      </c>
      <c r="BA76" s="125">
        <f>AI76*Valores!$C$79</f>
        <v>81071.073600000003</v>
      </c>
      <c r="BB76" s="125">
        <f>AI76*Valores!$C$80</f>
        <v>35468.594700000001</v>
      </c>
      <c r="BC76" s="125">
        <f>AI76*Valores!$C$81</f>
        <v>5066.9421000000002</v>
      </c>
      <c r="BD76" s="125">
        <f>AI76*Valores!$C$83</f>
        <v>17734.297350000001</v>
      </c>
      <c r="BE76" s="125">
        <f>AI76*Valores!$C$85</f>
        <v>27361.48734</v>
      </c>
      <c r="BF76" s="125">
        <f>AI76*Valores!$C$84</f>
        <v>3040.1652600000002</v>
      </c>
      <c r="BG76" s="126"/>
      <c r="BH76" s="126"/>
      <c r="BI76" s="123" t="s">
        <v>8</v>
      </c>
    </row>
    <row r="77" spans="1:61" s="110" customFormat="1" ht="11.25" customHeight="1" x14ac:dyDescent="0.15">
      <c r="A77" s="123" t="s">
        <v>242</v>
      </c>
      <c r="B77" s="123">
        <v>1</v>
      </c>
      <c r="C77" s="126">
        <v>70</v>
      </c>
      <c r="D77" s="124" t="s">
        <v>243</v>
      </c>
      <c r="E77" s="192">
        <v>78</v>
      </c>
      <c r="F77" s="125">
        <f>ROUND(E77*Valores!$C$2,2)</f>
        <v>6052.54</v>
      </c>
      <c r="G77" s="192">
        <v>1284</v>
      </c>
      <c r="H77" s="125">
        <f>ROUND(G77*Valores!$C$2,2)</f>
        <v>99634.16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33310.379999999997</v>
      </c>
      <c r="N77" s="125">
        <f t="shared" si="12"/>
        <v>0</v>
      </c>
      <c r="O77" s="125">
        <f>Valores!$C$14</f>
        <v>77265.73</v>
      </c>
      <c r="P77" s="125">
        <f>Valores!$D$5</f>
        <v>39667.43</v>
      </c>
      <c r="Q77" s="125">
        <f>Valores!$C$22</f>
        <v>35387.42</v>
      </c>
      <c r="R77" s="125">
        <f>IF($F$4="NO",Valores!$C$45,Valores!$C$45/2)</f>
        <v>27554.83</v>
      </c>
      <c r="S77" s="125">
        <v>0</v>
      </c>
      <c r="T77" s="125">
        <f t="shared" si="19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Valores!$C$96</f>
        <v>54315.88</v>
      </c>
      <c r="AA77" s="125">
        <f>Valores!$C$25</f>
        <v>1622.32</v>
      </c>
      <c r="AB77" s="214">
        <v>0</v>
      </c>
      <c r="AC77" s="125">
        <f t="shared" si="13"/>
        <v>0</v>
      </c>
      <c r="AD77" s="125">
        <f>Valores!$C$26</f>
        <v>1622.32</v>
      </c>
      <c r="AE77" s="192">
        <v>0</v>
      </c>
      <c r="AF77" s="125">
        <f>ROUND(AE77*Valores!$C$2,2)</f>
        <v>0</v>
      </c>
      <c r="AG77" s="125">
        <f>ROUND(IF($F$4="NO",Valores!$C$64,Valores!$C$64/2),2)</f>
        <v>18547.32</v>
      </c>
      <c r="AH77" s="125">
        <f>SUM(F77,H77,J77,L77,M77,N77,O77,P77,Q77,R77,T77,U77,V77,X77,Y77,Z77,AA77,AC77,AD77,AF77,AG77)*Valores!$C$104</f>
        <v>39498.033000000003</v>
      </c>
      <c r="AI77" s="125">
        <f t="shared" si="16"/>
        <v>434478.36300000001</v>
      </c>
      <c r="AJ77" s="125">
        <f>Valores!$C$31</f>
        <v>35000</v>
      </c>
      <c r="AK77" s="125">
        <v>0</v>
      </c>
      <c r="AL77" s="125">
        <f>Valores!$C$89</f>
        <v>0</v>
      </c>
      <c r="AM77" s="125">
        <f>Valores!C$39*B77</f>
        <v>0</v>
      </c>
      <c r="AN77" s="125">
        <v>0</v>
      </c>
      <c r="AO77" s="125">
        <f t="shared" si="14"/>
        <v>35000</v>
      </c>
      <c r="AP77" s="125">
        <f>AI77*Valores!$C$72</f>
        <v>-47792.619930000001</v>
      </c>
      <c r="AQ77" s="125">
        <f>IF(AI77&lt;Valores!$E$73,-0.02,IF(AI77&lt;Valores!$F$73,-0.03,-0.04))*AI77</f>
        <v>-8689.5672599999998</v>
      </c>
      <c r="AR77" s="125">
        <f>AI77*Valores!$C$75</f>
        <v>-23896.309965</v>
      </c>
      <c r="AS77" s="125">
        <f>Valores!$C$102</f>
        <v>-1270.1600000000001</v>
      </c>
      <c r="AT77" s="125">
        <f>IF($F$5=0,Valores!$C$103,(Valores!$C$103+$F$5*(Valores!$C$103)))</f>
        <v>-3700</v>
      </c>
      <c r="AU77" s="125">
        <f t="shared" si="17"/>
        <v>384129.70584499999</v>
      </c>
      <c r="AV77" s="125">
        <f t="shared" si="11"/>
        <v>-47792.619930000001</v>
      </c>
      <c r="AW77" s="125">
        <f t="shared" si="18"/>
        <v>-8689.5672599999998</v>
      </c>
      <c r="AX77" s="125">
        <f>AI77*Valores!$C$76</f>
        <v>-11730.915801000001</v>
      </c>
      <c r="AY77" s="125">
        <f>AI77*Valores!$C$77</f>
        <v>-1303.4350890000001</v>
      </c>
      <c r="AZ77" s="125">
        <f t="shared" si="15"/>
        <v>399961.82492000004</v>
      </c>
      <c r="BA77" s="125">
        <f>AI77*Valores!$C$79</f>
        <v>69516.538079999998</v>
      </c>
      <c r="BB77" s="125">
        <f>AI77*Valores!$C$80</f>
        <v>30413.485410000005</v>
      </c>
      <c r="BC77" s="125">
        <f>AI77*Valores!$C$81</f>
        <v>4344.7836299999999</v>
      </c>
      <c r="BD77" s="125">
        <f>AI77*Valores!$C$83</f>
        <v>15206.742705000002</v>
      </c>
      <c r="BE77" s="125">
        <f>AI77*Valores!$C$85</f>
        <v>23461.831602000002</v>
      </c>
      <c r="BF77" s="125">
        <f>AI77*Valores!$C$84</f>
        <v>2606.8701780000001</v>
      </c>
      <c r="BG77" s="126"/>
      <c r="BH77" s="126"/>
      <c r="BI77" s="123" t="s">
        <v>8</v>
      </c>
    </row>
    <row r="78" spans="1:61" s="110" customFormat="1" ht="11.25" customHeight="1" x14ac:dyDescent="0.15">
      <c r="A78" s="123" t="s">
        <v>244</v>
      </c>
      <c r="B78" s="123">
        <v>1</v>
      </c>
      <c r="C78" s="126">
        <v>71</v>
      </c>
      <c r="D78" s="124" t="s">
        <v>245</v>
      </c>
      <c r="E78" s="192">
        <v>82</v>
      </c>
      <c r="F78" s="125">
        <f>ROUND(E78*Valores!$C$2,2)</f>
        <v>6362.93</v>
      </c>
      <c r="G78" s="192">
        <v>2038</v>
      </c>
      <c r="H78" s="125">
        <f>ROUND(G78*Valores!$C$2,2)</f>
        <v>158142.07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57242.16</v>
      </c>
      <c r="N78" s="125">
        <f t="shared" si="12"/>
        <v>0</v>
      </c>
      <c r="O78" s="125">
        <f>Valores!$C$9</f>
        <v>97503.47</v>
      </c>
      <c r="P78" s="125">
        <f>Valores!$D$5</f>
        <v>39667.43</v>
      </c>
      <c r="Q78" s="125">
        <f>Valores!$C$22</f>
        <v>35387.42</v>
      </c>
      <c r="R78" s="125">
        <f>IF($F$4="NO",Valores!$C$45,Valores!$C$45/2)</f>
        <v>27554.83</v>
      </c>
      <c r="S78" s="125">
        <f>Valores!$C$19</f>
        <v>36908.81</v>
      </c>
      <c r="T78" s="125">
        <f t="shared" si="19"/>
        <v>36908.81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Valores!$C$96</f>
        <v>54315.88</v>
      </c>
      <c r="AA78" s="125">
        <f>Valores!$C$25</f>
        <v>1622.32</v>
      </c>
      <c r="AB78" s="214">
        <v>0</v>
      </c>
      <c r="AC78" s="125">
        <f t="shared" si="13"/>
        <v>0</v>
      </c>
      <c r="AD78" s="125">
        <f>Valores!$C$26</f>
        <v>1622.32</v>
      </c>
      <c r="AE78" s="192">
        <v>0</v>
      </c>
      <c r="AF78" s="125">
        <f>ROUND(AE78*Valores!$C$2,2)</f>
        <v>0</v>
      </c>
      <c r="AG78" s="125">
        <f>ROUND(IF($F$4="NO",Valores!$C$64,Valores!$C$64/2),2)</f>
        <v>18547.32</v>
      </c>
      <c r="AH78" s="125">
        <f>SUM(F78,H78,J78,L78,M78,N78,O78,P78,Q78,R78,T78,U78,V78,X78,Y78,Z78,AA78,AC78,AD78,AF78,AG78)*Valores!$C$104</f>
        <v>53487.695999999996</v>
      </c>
      <c r="AI78" s="125">
        <f t="shared" si="16"/>
        <v>588364.65599999996</v>
      </c>
      <c r="AJ78" s="125">
        <f>Valores!$C$31</f>
        <v>35000</v>
      </c>
      <c r="AK78" s="125">
        <v>0</v>
      </c>
      <c r="AL78" s="125">
        <f>Valores!$C$89</f>
        <v>0</v>
      </c>
      <c r="AM78" s="125">
        <f>Valores!C$39*B78</f>
        <v>0</v>
      </c>
      <c r="AN78" s="125">
        <f>IF($F$3="NO",0,Valores!$C$57)</f>
        <v>0</v>
      </c>
      <c r="AO78" s="125">
        <f t="shared" si="14"/>
        <v>35000</v>
      </c>
      <c r="AP78" s="125">
        <f>AI78*Valores!$C$72</f>
        <v>-64720.112159999997</v>
      </c>
      <c r="AQ78" s="125">
        <f>IF(AI78&lt;Valores!$E$73,-0.02,IF(AI78&lt;Valores!$F$73,-0.03,-0.04))*AI78</f>
        <v>-11767.29312</v>
      </c>
      <c r="AR78" s="125">
        <f>AI78*Valores!$C$75</f>
        <v>-32360.056079999998</v>
      </c>
      <c r="AS78" s="125">
        <f>Valores!$C$102</f>
        <v>-1270.1600000000001</v>
      </c>
      <c r="AT78" s="125">
        <f>IF($F$5=0,Valores!$C$103,(Valores!$C$103+$F$5*(Valores!$C$103)))</f>
        <v>-3700</v>
      </c>
      <c r="AU78" s="125">
        <f t="shared" si="17"/>
        <v>509547.03463999997</v>
      </c>
      <c r="AV78" s="125">
        <f t="shared" si="11"/>
        <v>-64720.112159999997</v>
      </c>
      <c r="AW78" s="125">
        <f t="shared" si="18"/>
        <v>-11767.29312</v>
      </c>
      <c r="AX78" s="125">
        <f>AI78*Valores!$C$76</f>
        <v>-15885.845711999998</v>
      </c>
      <c r="AY78" s="125">
        <f>AI78*Valores!$C$77</f>
        <v>-1765.0939679999999</v>
      </c>
      <c r="AZ78" s="125">
        <f t="shared" si="15"/>
        <v>529226.31103999994</v>
      </c>
      <c r="BA78" s="125">
        <f>AI78*Valores!$C$79</f>
        <v>94138.344960000002</v>
      </c>
      <c r="BB78" s="125">
        <f>AI78*Valores!$C$80</f>
        <v>41185.52592</v>
      </c>
      <c r="BC78" s="125">
        <f>AI78*Valores!$C$81</f>
        <v>5883.6465600000001</v>
      </c>
      <c r="BD78" s="125">
        <f>AI78*Valores!$C$83</f>
        <v>20592.76296</v>
      </c>
      <c r="BE78" s="125">
        <f>AI78*Valores!$C$85</f>
        <v>31771.691423999997</v>
      </c>
      <c r="BF78" s="125">
        <f>AI78*Valores!$C$84</f>
        <v>3530.1879359999998</v>
      </c>
      <c r="BG78" s="126"/>
      <c r="BH78" s="126">
        <v>25</v>
      </c>
      <c r="BI78" s="123" t="s">
        <v>4</v>
      </c>
    </row>
    <row r="79" spans="1:61" s="110" customFormat="1" ht="11.25" customHeight="1" x14ac:dyDescent="0.15">
      <c r="A79" s="123" t="s">
        <v>246</v>
      </c>
      <c r="B79" s="123">
        <v>1</v>
      </c>
      <c r="C79" s="126">
        <v>72</v>
      </c>
      <c r="D79" s="124" t="s">
        <v>247</v>
      </c>
      <c r="E79" s="192">
        <v>78</v>
      </c>
      <c r="F79" s="125">
        <f>ROUND(E79*Valores!$C$2,2)</f>
        <v>6052.54</v>
      </c>
      <c r="G79" s="192">
        <v>2072</v>
      </c>
      <c r="H79" s="125">
        <f>ROUND(G79*Valores!$C$2,2)</f>
        <v>160780.35999999999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58209.26</v>
      </c>
      <c r="N79" s="125">
        <f t="shared" si="12"/>
        <v>0</v>
      </c>
      <c r="O79" s="125">
        <f>Valores!$C$9</f>
        <v>97503.47</v>
      </c>
      <c r="P79" s="125">
        <f>Valores!$D$5</f>
        <v>39667.43</v>
      </c>
      <c r="Q79" s="125">
        <f>Valores!$C$22</f>
        <v>35387.42</v>
      </c>
      <c r="R79" s="125">
        <f>IF($F$4="NO",Valores!$C$46,Valores!$C$46/2)</f>
        <v>29095.32</v>
      </c>
      <c r="S79" s="125">
        <f>Valores!$C$19</f>
        <v>36908.81</v>
      </c>
      <c r="T79" s="125">
        <f t="shared" si="19"/>
        <v>36908.81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Valores!$C$97</f>
        <v>65179.040000000001</v>
      </c>
      <c r="AA79" s="125">
        <f>Valores!$C$25</f>
        <v>1622.32</v>
      </c>
      <c r="AB79" s="214">
        <v>0</v>
      </c>
      <c r="AC79" s="125">
        <f t="shared" si="13"/>
        <v>0</v>
      </c>
      <c r="AD79" s="125">
        <f>Valores!$C$26</f>
        <v>1622.32</v>
      </c>
      <c r="AE79" s="192">
        <v>0</v>
      </c>
      <c r="AF79" s="125">
        <f>ROUND(AE79*Valores!$C$2,2)</f>
        <v>0</v>
      </c>
      <c r="AG79" s="125">
        <f>ROUND(IF($F$4="NO",Valores!$C$64,Valores!$C$64/2),2)</f>
        <v>18547.32</v>
      </c>
      <c r="AH79" s="125">
        <f>SUM(F79,H79,J79,L79,M79,N79,O79,P79,Q79,R79,T79,U79,V79,X79,Y79,Z79,AA79,AC79,AD79,AF79,AG79)*Valores!$C$104</f>
        <v>55057.560999999987</v>
      </c>
      <c r="AI79" s="125">
        <f t="shared" si="16"/>
        <v>605633.17099999986</v>
      </c>
      <c r="AJ79" s="125">
        <f>Valores!$C$31</f>
        <v>35000</v>
      </c>
      <c r="AK79" s="125">
        <v>0</v>
      </c>
      <c r="AL79" s="125">
        <f>Valores!$C$90</f>
        <v>0</v>
      </c>
      <c r="AM79" s="125">
        <f>Valores!C$39*B79</f>
        <v>0</v>
      </c>
      <c r="AN79" s="125">
        <f>IF($F$3="NO",0,Valores!$C$57)</f>
        <v>0</v>
      </c>
      <c r="AO79" s="125">
        <f t="shared" si="14"/>
        <v>35000</v>
      </c>
      <c r="AP79" s="125">
        <f>AI79*Valores!$C$72</f>
        <v>-66619.648809999984</v>
      </c>
      <c r="AQ79" s="125">
        <f>IF(AI79&lt;Valores!$E$73,-0.02,IF(AI79&lt;Valores!$F$73,-0.03,-0.04))*AI79</f>
        <v>-12112.663419999997</v>
      </c>
      <c r="AR79" s="125">
        <f>AI79*Valores!$C$75</f>
        <v>-33309.824404999992</v>
      </c>
      <c r="AS79" s="125">
        <f>Valores!$C$102</f>
        <v>-1270.1600000000001</v>
      </c>
      <c r="AT79" s="125">
        <f>IF($F$5=0,Valores!$C$103,(Valores!$C$103+$F$5*(Valores!$C$103)))</f>
        <v>-3700</v>
      </c>
      <c r="AU79" s="125">
        <f t="shared" si="17"/>
        <v>523620.87436499988</v>
      </c>
      <c r="AV79" s="125">
        <f t="shared" si="11"/>
        <v>-66619.648809999984</v>
      </c>
      <c r="AW79" s="125">
        <f t="shared" si="18"/>
        <v>-12112.663419999997</v>
      </c>
      <c r="AX79" s="125">
        <f>AI79*Valores!$C$76</f>
        <v>-16352.095616999995</v>
      </c>
      <c r="AY79" s="125">
        <f>AI79*Valores!$C$77</f>
        <v>-1816.8995129999996</v>
      </c>
      <c r="AZ79" s="125">
        <f t="shared" si="15"/>
        <v>543731.86363999988</v>
      </c>
      <c r="BA79" s="125">
        <f>AI79*Valores!$C$79</f>
        <v>96901.307359999977</v>
      </c>
      <c r="BB79" s="125">
        <f>AI79*Valores!$C$80</f>
        <v>42394.321969999997</v>
      </c>
      <c r="BC79" s="125">
        <f>AI79*Valores!$C$81</f>
        <v>6056.3317099999986</v>
      </c>
      <c r="BD79" s="125">
        <f>AI79*Valores!$C$83</f>
        <v>21197.160984999999</v>
      </c>
      <c r="BE79" s="125">
        <f>AI79*Valores!$C$85</f>
        <v>32704.191233999991</v>
      </c>
      <c r="BF79" s="125">
        <f>AI79*Valores!$C$84</f>
        <v>3633.7990259999992</v>
      </c>
      <c r="BG79" s="126"/>
      <c r="BH79" s="126">
        <v>30</v>
      </c>
      <c r="BI79" s="123" t="s">
        <v>4</v>
      </c>
    </row>
    <row r="80" spans="1:61" s="110" customFormat="1" ht="11.25" customHeight="1" x14ac:dyDescent="0.15">
      <c r="A80" s="123" t="s">
        <v>248</v>
      </c>
      <c r="B80" s="123">
        <v>1</v>
      </c>
      <c r="C80" s="126">
        <v>73</v>
      </c>
      <c r="D80" s="124" t="s">
        <v>249</v>
      </c>
      <c r="E80" s="192">
        <v>78</v>
      </c>
      <c r="F80" s="125">
        <f>ROUND(E80*Valores!$C$2,2)</f>
        <v>6052.54</v>
      </c>
      <c r="G80" s="192">
        <v>1770</v>
      </c>
      <c r="H80" s="125">
        <f>ROUND(G80*Valores!$C$2,2)</f>
        <v>137346.16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52350.71</v>
      </c>
      <c r="N80" s="125">
        <f t="shared" si="12"/>
        <v>0</v>
      </c>
      <c r="O80" s="125">
        <f>Valores!$C$9</f>
        <v>97503.47</v>
      </c>
      <c r="P80" s="125">
        <f>Valores!$D$5</f>
        <v>39667.43</v>
      </c>
      <c r="Q80" s="125">
        <f>Valores!$C$22</f>
        <v>35387.42</v>
      </c>
      <c r="R80" s="125">
        <f>IF($F$4="NO",Valores!$C$46,Valores!$C$46/2)</f>
        <v>29095.32</v>
      </c>
      <c r="S80" s="125">
        <f>Valores!$C$19</f>
        <v>36908.81</v>
      </c>
      <c r="T80" s="125">
        <f t="shared" si="19"/>
        <v>36908.81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Valores!$C$97</f>
        <v>65179.040000000001</v>
      </c>
      <c r="AA80" s="125">
        <f>Valores!$C$25</f>
        <v>1622.32</v>
      </c>
      <c r="AB80" s="214">
        <v>0</v>
      </c>
      <c r="AC80" s="125">
        <f t="shared" si="13"/>
        <v>0</v>
      </c>
      <c r="AD80" s="125">
        <f>Valores!$C$26</f>
        <v>1622.32</v>
      </c>
      <c r="AE80" s="192">
        <v>0</v>
      </c>
      <c r="AF80" s="125">
        <f>ROUND(AE80*Valores!$C$2,2)</f>
        <v>0</v>
      </c>
      <c r="AG80" s="125">
        <f>ROUND(IF($F$4="NO",Valores!$C$64,Valores!$C$64/2),2)</f>
        <v>18547.32</v>
      </c>
      <c r="AH80" s="125">
        <f>SUM(F80,H80,J80,L80,M80,N80,O80,P80,Q80,R80,T80,U80,V80,X80,Y80,Z80,AA80,AC80,AD80,AF80,AG80)*Valores!$C$104</f>
        <v>52128.286</v>
      </c>
      <c r="AI80" s="125">
        <f t="shared" si="16"/>
        <v>573411.14599999995</v>
      </c>
      <c r="AJ80" s="125">
        <f>Valores!$C$31</f>
        <v>35000</v>
      </c>
      <c r="AK80" s="125">
        <v>0</v>
      </c>
      <c r="AL80" s="125">
        <f>Valores!$C$90</f>
        <v>0</v>
      </c>
      <c r="AM80" s="125">
        <f>Valores!C$39*B80</f>
        <v>0</v>
      </c>
      <c r="AN80" s="125">
        <f>IF($F$3="NO",0,Valores!$C$57)</f>
        <v>0</v>
      </c>
      <c r="AO80" s="125">
        <f t="shared" si="14"/>
        <v>35000</v>
      </c>
      <c r="AP80" s="125">
        <f>AI80*Valores!$C$72</f>
        <v>-63075.226059999994</v>
      </c>
      <c r="AQ80" s="125">
        <f>IF(AI80&lt;Valores!$E$73,-0.02,IF(AI80&lt;Valores!$F$73,-0.03,-0.04))*AI80</f>
        <v>-11468.222919999998</v>
      </c>
      <c r="AR80" s="125">
        <f>AI80*Valores!$C$75</f>
        <v>-31537.613029999997</v>
      </c>
      <c r="AS80" s="125">
        <f>Valores!$C$102</f>
        <v>-1270.1600000000001</v>
      </c>
      <c r="AT80" s="125">
        <f>IF($F$5=0,Valores!$C$103,(Valores!$C$103+$F$5*(Valores!$C$103)))</f>
        <v>-3700</v>
      </c>
      <c r="AU80" s="125">
        <f t="shared" si="17"/>
        <v>497359.92398999992</v>
      </c>
      <c r="AV80" s="125">
        <f t="shared" si="11"/>
        <v>-63075.226059999994</v>
      </c>
      <c r="AW80" s="125">
        <f t="shared" si="18"/>
        <v>-11468.222919999998</v>
      </c>
      <c r="AX80" s="125">
        <f>AI80*Valores!$C$76</f>
        <v>-15482.100941999999</v>
      </c>
      <c r="AY80" s="125">
        <f>AI80*Valores!$C$77</f>
        <v>-1720.233438</v>
      </c>
      <c r="AZ80" s="125">
        <f t="shared" si="15"/>
        <v>516665.36263999995</v>
      </c>
      <c r="BA80" s="125">
        <f>AI80*Valores!$C$79</f>
        <v>91745.783359999987</v>
      </c>
      <c r="BB80" s="125">
        <f>AI80*Valores!$C$80</f>
        <v>40138.780220000001</v>
      </c>
      <c r="BC80" s="125">
        <f>AI80*Valores!$C$81</f>
        <v>5734.1114599999992</v>
      </c>
      <c r="BD80" s="125">
        <f>AI80*Valores!$C$83</f>
        <v>20069.39011</v>
      </c>
      <c r="BE80" s="125">
        <f>AI80*Valores!$C$85</f>
        <v>30964.201883999998</v>
      </c>
      <c r="BF80" s="125">
        <f>AI80*Valores!$C$84</f>
        <v>3440.466876</v>
      </c>
      <c r="BG80" s="126"/>
      <c r="BH80" s="126"/>
      <c r="BI80" s="123" t="s">
        <v>4</v>
      </c>
    </row>
    <row r="81" spans="1:61" s="110" customFormat="1" ht="11.25" customHeight="1" x14ac:dyDescent="0.15">
      <c r="A81" s="123" t="s">
        <v>250</v>
      </c>
      <c r="B81" s="123">
        <v>1</v>
      </c>
      <c r="C81" s="126">
        <v>74</v>
      </c>
      <c r="D81" s="124" t="s">
        <v>251</v>
      </c>
      <c r="E81" s="192">
        <v>77</v>
      </c>
      <c r="F81" s="125">
        <f>ROUND(E81*Valores!$C$2,2)</f>
        <v>5974.95</v>
      </c>
      <c r="G81" s="192">
        <v>2073</v>
      </c>
      <c r="H81" s="125">
        <f>ROUND(G81*Valores!$C$2,2)</f>
        <v>160857.96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58209.26</v>
      </c>
      <c r="N81" s="125">
        <f t="shared" si="12"/>
        <v>0</v>
      </c>
      <c r="O81" s="125">
        <f>Valores!$C$9</f>
        <v>97503.47</v>
      </c>
      <c r="P81" s="125">
        <f>Valores!$D$5</f>
        <v>39667.43</v>
      </c>
      <c r="Q81" s="125">
        <f>Valores!$C$22</f>
        <v>35387.42</v>
      </c>
      <c r="R81" s="125">
        <f>IF($F$4="NO",Valores!$C$46,Valores!$C$46/2)</f>
        <v>29095.32</v>
      </c>
      <c r="S81" s="125">
        <f>Valores!$C$19</f>
        <v>36908.81</v>
      </c>
      <c r="T81" s="125">
        <f t="shared" si="19"/>
        <v>36908.81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Valores!$C$97</f>
        <v>65179.040000000001</v>
      </c>
      <c r="AA81" s="125">
        <f>Valores!$C$25</f>
        <v>1622.32</v>
      </c>
      <c r="AB81" s="214">
        <v>0</v>
      </c>
      <c r="AC81" s="125">
        <f t="shared" si="13"/>
        <v>0</v>
      </c>
      <c r="AD81" s="125">
        <f>Valores!$C$26</f>
        <v>1622.32</v>
      </c>
      <c r="AE81" s="192">
        <v>0</v>
      </c>
      <c r="AF81" s="125">
        <f>ROUND(AE81*Valores!$C$2,2)</f>
        <v>0</v>
      </c>
      <c r="AG81" s="125">
        <f>ROUND(IF($F$4="NO",Valores!$C$64,Valores!$C$64/2),2)</f>
        <v>18547.32</v>
      </c>
      <c r="AH81" s="125">
        <f>SUM(F81,H81,J81,L81,M81,N81,O81,P81,Q81,R81,T81,U81,V81,X81,Y81,Z81,AA81,AC81,AD81,AF81,AG81)*Valores!$C$104</f>
        <v>55057.561999999991</v>
      </c>
      <c r="AI81" s="125">
        <f t="shared" si="16"/>
        <v>605633.18199999991</v>
      </c>
      <c r="AJ81" s="125">
        <f>Valores!$C$31</f>
        <v>35000</v>
      </c>
      <c r="AK81" s="125">
        <v>0</v>
      </c>
      <c r="AL81" s="125">
        <f>Valores!$C$90</f>
        <v>0</v>
      </c>
      <c r="AM81" s="125">
        <f>Valores!C$39*B81</f>
        <v>0</v>
      </c>
      <c r="AN81" s="125">
        <f>IF($F$3="NO",0,Valores!$C$57)</f>
        <v>0</v>
      </c>
      <c r="AO81" s="125">
        <f t="shared" si="14"/>
        <v>35000</v>
      </c>
      <c r="AP81" s="125">
        <f>AI81*Valores!$C$72</f>
        <v>-66619.650019999986</v>
      </c>
      <c r="AQ81" s="125">
        <f>IF(AI81&lt;Valores!$E$73,-0.02,IF(AI81&lt;Valores!$F$73,-0.03,-0.04))*AI81</f>
        <v>-12112.663639999999</v>
      </c>
      <c r="AR81" s="125">
        <f>AI81*Valores!$C$75</f>
        <v>-33309.825009999993</v>
      </c>
      <c r="AS81" s="125">
        <f>Valores!$C$102</f>
        <v>-1270.1600000000001</v>
      </c>
      <c r="AT81" s="125">
        <f>IF($F$5=0,Valores!$C$103,(Valores!$C$103+$F$5*(Valores!$C$103)))</f>
        <v>-3700</v>
      </c>
      <c r="AU81" s="125">
        <f t="shared" si="17"/>
        <v>523620.88332999992</v>
      </c>
      <c r="AV81" s="125">
        <f t="shared" si="11"/>
        <v>-66619.650019999986</v>
      </c>
      <c r="AW81" s="125">
        <f t="shared" si="18"/>
        <v>-12112.663639999999</v>
      </c>
      <c r="AX81" s="125">
        <f>AI81*Valores!$C$76</f>
        <v>-16352.095913999998</v>
      </c>
      <c r="AY81" s="125">
        <f>AI81*Valores!$C$77</f>
        <v>-1816.8995459999999</v>
      </c>
      <c r="AZ81" s="125">
        <f t="shared" si="15"/>
        <v>543731.87287999992</v>
      </c>
      <c r="BA81" s="125">
        <f>AI81*Valores!$C$79</f>
        <v>96901.309119999991</v>
      </c>
      <c r="BB81" s="125">
        <f>AI81*Valores!$C$80</f>
        <v>42394.322739999996</v>
      </c>
      <c r="BC81" s="125">
        <f>AI81*Valores!$C$81</f>
        <v>6056.3318199999994</v>
      </c>
      <c r="BD81" s="125">
        <f>AI81*Valores!$C$83</f>
        <v>21197.161369999998</v>
      </c>
      <c r="BE81" s="125">
        <f>AI81*Valores!$C$85</f>
        <v>32704.191827999995</v>
      </c>
      <c r="BF81" s="125">
        <f>AI81*Valores!$C$84</f>
        <v>3633.7990919999997</v>
      </c>
      <c r="BG81" s="126"/>
      <c r="BH81" s="126">
        <v>25</v>
      </c>
      <c r="BI81" s="123" t="s">
        <v>8</v>
      </c>
    </row>
    <row r="82" spans="1:61" s="110" customFormat="1" ht="11.25" customHeight="1" x14ac:dyDescent="0.15">
      <c r="A82" s="123" t="s">
        <v>252</v>
      </c>
      <c r="B82" s="123">
        <v>1</v>
      </c>
      <c r="C82" s="126">
        <v>75</v>
      </c>
      <c r="D82" s="124" t="s">
        <v>253</v>
      </c>
      <c r="E82" s="192">
        <v>76</v>
      </c>
      <c r="F82" s="125">
        <f>ROUND(E82*Valores!$C$2,2)</f>
        <v>5897.35</v>
      </c>
      <c r="G82" s="192">
        <v>1872</v>
      </c>
      <c r="H82" s="125">
        <f>ROUND(G82*Valores!$C$2,2)</f>
        <v>145261.01999999999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54290.63</v>
      </c>
      <c r="N82" s="125">
        <f t="shared" si="12"/>
        <v>0</v>
      </c>
      <c r="O82" s="125">
        <f>Valores!$C$9</f>
        <v>97503.47</v>
      </c>
      <c r="P82" s="125">
        <f>Valores!$D$5</f>
        <v>39667.43</v>
      </c>
      <c r="Q82" s="125">
        <v>0</v>
      </c>
      <c r="R82" s="125">
        <f>IF($F$4="NO",Valores!$C$46,Valores!$C$46/2)</f>
        <v>29095.32</v>
      </c>
      <c r="S82" s="125">
        <f>Valores!$C$19</f>
        <v>36908.81</v>
      </c>
      <c r="T82" s="125">
        <f t="shared" si="19"/>
        <v>36908.81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Valores!$C$97</f>
        <v>65179.040000000001</v>
      </c>
      <c r="AA82" s="125">
        <f>Valores!$C$25</f>
        <v>1622.32</v>
      </c>
      <c r="AB82" s="214">
        <v>0</v>
      </c>
      <c r="AC82" s="125">
        <f t="shared" si="13"/>
        <v>0</v>
      </c>
      <c r="AD82" s="125">
        <f>Valores!$C$26</f>
        <v>1622.32</v>
      </c>
      <c r="AE82" s="192">
        <v>0</v>
      </c>
      <c r="AF82" s="125">
        <f>ROUND(AE82*Valores!$C$2,2)</f>
        <v>0</v>
      </c>
      <c r="AG82" s="125">
        <f>ROUND(IF($F$4="NO",Valores!$C$64,Valores!$C$64/2),2)</f>
        <v>18547.32</v>
      </c>
      <c r="AH82" s="125">
        <f>SUM(F82,H82,J82,L82,M82,N82,O82,P82,Q82,R82,T82,U82,V82,X82,Y82,Z82,AA82,AC82,AD82,AF82,AG82)*Valores!$C$104</f>
        <v>49559.502999999997</v>
      </c>
      <c r="AI82" s="125">
        <f t="shared" si="16"/>
        <v>545154.53299999994</v>
      </c>
      <c r="AJ82" s="125">
        <f>Valores!$C$31</f>
        <v>35000</v>
      </c>
      <c r="AK82" s="125">
        <v>0</v>
      </c>
      <c r="AL82" s="125">
        <f>Valores!$C$90</f>
        <v>0</v>
      </c>
      <c r="AM82" s="125">
        <f>Valores!C$39*B82</f>
        <v>0</v>
      </c>
      <c r="AN82" s="125">
        <f>IF($F$3="NO",0,Valores!$C$57)</f>
        <v>0</v>
      </c>
      <c r="AO82" s="125">
        <f t="shared" si="14"/>
        <v>35000</v>
      </c>
      <c r="AP82" s="125">
        <f>AI82*Valores!$C$72</f>
        <v>-59966.998629999995</v>
      </c>
      <c r="AQ82" s="125">
        <f>IF(AI82&lt;Valores!$E$73,-0.02,IF(AI82&lt;Valores!$F$73,-0.03,-0.04))*AI82</f>
        <v>-10903.09066</v>
      </c>
      <c r="AR82" s="125">
        <f>AI82*Valores!$C$75</f>
        <v>-29983.499314999997</v>
      </c>
      <c r="AS82" s="125">
        <f>Valores!$C$102</f>
        <v>-1270.1600000000001</v>
      </c>
      <c r="AT82" s="125">
        <f>IF($F$5=0,Valores!$C$103,(Valores!$C$103+$F$5*(Valores!$C$103)))</f>
        <v>-3700</v>
      </c>
      <c r="AU82" s="125">
        <f t="shared" si="17"/>
        <v>474330.78439499997</v>
      </c>
      <c r="AV82" s="125">
        <f t="shared" si="11"/>
        <v>-59966.998629999995</v>
      </c>
      <c r="AW82" s="125">
        <f t="shared" si="18"/>
        <v>-10903.09066</v>
      </c>
      <c r="AX82" s="125">
        <f>AI82*Valores!$C$76</f>
        <v>-14719.172390999998</v>
      </c>
      <c r="AY82" s="125">
        <f>AI82*Valores!$C$77</f>
        <v>-1635.4635989999999</v>
      </c>
      <c r="AZ82" s="125">
        <f t="shared" si="15"/>
        <v>492929.80771999992</v>
      </c>
      <c r="BA82" s="125">
        <f>AI82*Valores!$C$79</f>
        <v>87224.725279999999</v>
      </c>
      <c r="BB82" s="125">
        <f>AI82*Valores!$C$80</f>
        <v>38160.817309999999</v>
      </c>
      <c r="BC82" s="125">
        <f>AI82*Valores!$C$81</f>
        <v>5451.5453299999999</v>
      </c>
      <c r="BD82" s="125">
        <f>AI82*Valores!$C$83</f>
        <v>19080.408654999999</v>
      </c>
      <c r="BE82" s="125">
        <f>AI82*Valores!$C$85</f>
        <v>29438.344781999996</v>
      </c>
      <c r="BF82" s="125">
        <f>AI82*Valores!$C$84</f>
        <v>3270.9271979999999</v>
      </c>
      <c r="BG82" s="126"/>
      <c r="BH82" s="126">
        <v>30</v>
      </c>
      <c r="BI82" s="123" t="s">
        <v>8</v>
      </c>
    </row>
    <row r="83" spans="1:61" s="110" customFormat="1" ht="11.25" customHeight="1" x14ac:dyDescent="0.15">
      <c r="A83" s="123" t="s">
        <v>254</v>
      </c>
      <c r="B83" s="123">
        <v>1</v>
      </c>
      <c r="C83" s="126">
        <v>76</v>
      </c>
      <c r="D83" s="124" t="s">
        <v>255</v>
      </c>
      <c r="E83" s="192">
        <v>75</v>
      </c>
      <c r="F83" s="125">
        <f>ROUND(E83*Valores!$C$2,2)</f>
        <v>5819.75</v>
      </c>
      <c r="G83" s="192">
        <v>1873</v>
      </c>
      <c r="H83" s="125">
        <f>ROUND(G83*Valores!$C$2,2)</f>
        <v>145338.62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54290.63</v>
      </c>
      <c r="N83" s="125">
        <f t="shared" si="12"/>
        <v>0</v>
      </c>
      <c r="O83" s="125">
        <f>Valores!$C$9</f>
        <v>97503.47</v>
      </c>
      <c r="P83" s="125">
        <f>Valores!$D$5</f>
        <v>39667.43</v>
      </c>
      <c r="Q83" s="125">
        <f>Valores!$C$22</f>
        <v>35387.42</v>
      </c>
      <c r="R83" s="125">
        <f>IF($F$4="NO",Valores!$C$46,Valores!$C$46/2)</f>
        <v>29095.32</v>
      </c>
      <c r="S83" s="125">
        <f>Valores!$C$19</f>
        <v>36908.81</v>
      </c>
      <c r="T83" s="125">
        <f t="shared" si="19"/>
        <v>36908.81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Valores!$C$97</f>
        <v>65179.040000000001</v>
      </c>
      <c r="AA83" s="125">
        <f>Valores!$C$25</f>
        <v>1622.32</v>
      </c>
      <c r="AB83" s="214">
        <v>0</v>
      </c>
      <c r="AC83" s="125">
        <f t="shared" si="13"/>
        <v>0</v>
      </c>
      <c r="AD83" s="125">
        <f>Valores!$C$26</f>
        <v>1622.32</v>
      </c>
      <c r="AE83" s="192">
        <v>0</v>
      </c>
      <c r="AF83" s="125">
        <f>ROUND(AE83*Valores!$C$2,2)</f>
        <v>0</v>
      </c>
      <c r="AG83" s="125">
        <f>ROUND(IF($F$4="NO",Valores!$C$64,Valores!$C$64/2),2)</f>
        <v>18547.32</v>
      </c>
      <c r="AH83" s="125">
        <f>SUM(F83,H83,J83,L83,M83,N83,O83,P83,Q83,R83,T83,U83,V83,X83,Y83,Z83,AA83,AC83,AD83,AF83,AG83)*Valores!$C$104</f>
        <v>53098.244999999995</v>
      </c>
      <c r="AI83" s="125">
        <f t="shared" si="16"/>
        <v>584080.69499999995</v>
      </c>
      <c r="AJ83" s="125">
        <f>Valores!$C$31</f>
        <v>35000</v>
      </c>
      <c r="AK83" s="125">
        <v>0</v>
      </c>
      <c r="AL83" s="125">
        <f>Valores!$C$90</f>
        <v>0</v>
      </c>
      <c r="AM83" s="125">
        <f>Valores!C$39*B83</f>
        <v>0</v>
      </c>
      <c r="AN83" s="125">
        <f>IF($F$3="NO",0,Valores!$C$57)</f>
        <v>0</v>
      </c>
      <c r="AO83" s="125">
        <f t="shared" si="14"/>
        <v>35000</v>
      </c>
      <c r="AP83" s="125">
        <f>AI83*Valores!$C$72</f>
        <v>-64248.876449999996</v>
      </c>
      <c r="AQ83" s="125">
        <f>IF(AI83&lt;Valores!$E$73,-0.02,IF(AI83&lt;Valores!$F$73,-0.03,-0.04))*AI83</f>
        <v>-11681.613899999998</v>
      </c>
      <c r="AR83" s="125">
        <f>AI83*Valores!$C$75</f>
        <v>-32124.438224999998</v>
      </c>
      <c r="AS83" s="125">
        <f>Valores!$C$102</f>
        <v>-1270.1600000000001</v>
      </c>
      <c r="AT83" s="125">
        <f>IF($F$5=0,Valores!$C$103,(Valores!$C$103+$F$5*(Valores!$C$103)))</f>
        <v>-3700</v>
      </c>
      <c r="AU83" s="125">
        <f t="shared" si="17"/>
        <v>506055.60642499995</v>
      </c>
      <c r="AV83" s="125">
        <f t="shared" si="11"/>
        <v>-64248.876449999996</v>
      </c>
      <c r="AW83" s="125">
        <f t="shared" si="18"/>
        <v>-11681.613899999998</v>
      </c>
      <c r="AX83" s="125">
        <f>AI83*Valores!$C$76</f>
        <v>-15770.178764999999</v>
      </c>
      <c r="AY83" s="125">
        <f>AI83*Valores!$C$77</f>
        <v>-1752.2420849999999</v>
      </c>
      <c r="AZ83" s="125">
        <f t="shared" si="15"/>
        <v>525627.78379999998</v>
      </c>
      <c r="BA83" s="125">
        <f>AI83*Valores!$C$79</f>
        <v>93452.911199999988</v>
      </c>
      <c r="BB83" s="125">
        <f>AI83*Valores!$C$80</f>
        <v>40885.648650000003</v>
      </c>
      <c r="BC83" s="125">
        <f>AI83*Valores!$C$81</f>
        <v>5840.8069499999992</v>
      </c>
      <c r="BD83" s="125">
        <f>AI83*Valores!$C$83</f>
        <v>20442.824325000001</v>
      </c>
      <c r="BE83" s="125">
        <f>AI83*Valores!$C$85</f>
        <v>31540.357529999997</v>
      </c>
      <c r="BF83" s="125">
        <f>AI83*Valores!$C$84</f>
        <v>3504.4841699999997</v>
      </c>
      <c r="BG83" s="126"/>
      <c r="BH83" s="126">
        <v>25</v>
      </c>
      <c r="BI83" s="123" t="s">
        <v>4</v>
      </c>
    </row>
    <row r="84" spans="1:61" s="110" customFormat="1" ht="11.25" customHeight="1" x14ac:dyDescent="0.15">
      <c r="A84" s="123" t="s">
        <v>256</v>
      </c>
      <c r="B84" s="123">
        <v>1</v>
      </c>
      <c r="C84" s="126">
        <v>77</v>
      </c>
      <c r="D84" s="124" t="s">
        <v>257</v>
      </c>
      <c r="E84" s="192">
        <v>76</v>
      </c>
      <c r="F84" s="125">
        <f>ROUND(E84*Valores!$C$2,2)</f>
        <v>5897.35</v>
      </c>
      <c r="G84" s="192">
        <v>1752</v>
      </c>
      <c r="H84" s="125">
        <f>ROUND(G84*Valores!$C$2,2)</f>
        <v>135949.42000000001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51577.599999999999</v>
      </c>
      <c r="N84" s="125">
        <f t="shared" si="12"/>
        <v>0</v>
      </c>
      <c r="O84" s="125">
        <f>Valores!$C$8</f>
        <v>97252.17</v>
      </c>
      <c r="P84" s="125">
        <f>Valores!$D$5</f>
        <v>39667.43</v>
      </c>
      <c r="Q84" s="125">
        <f>Valores!$C$22</f>
        <v>35387.42</v>
      </c>
      <c r="R84" s="125">
        <f>IF($F$4="NO",Valores!$C$45,Valores!$C$45/2)</f>
        <v>27554.83</v>
      </c>
      <c r="S84" s="125">
        <f>Valores!$C$19</f>
        <v>36908.81</v>
      </c>
      <c r="T84" s="125">
        <f t="shared" si="19"/>
        <v>36908.81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Valores!$C$96</f>
        <v>54315.88</v>
      </c>
      <c r="AA84" s="125">
        <f>Valores!$C$25</f>
        <v>1622.32</v>
      </c>
      <c r="AB84" s="214">
        <v>0</v>
      </c>
      <c r="AC84" s="125">
        <f t="shared" si="13"/>
        <v>0</v>
      </c>
      <c r="AD84" s="125">
        <f>Valores!$C$26</f>
        <v>1622.32</v>
      </c>
      <c r="AE84" s="192">
        <v>0</v>
      </c>
      <c r="AF84" s="125">
        <f>ROUND(AE84*Valores!$C$2,2)</f>
        <v>0</v>
      </c>
      <c r="AG84" s="125">
        <f>ROUND(IF($F$4="NO",Valores!$C$64,Valores!$C$64/2),2)</f>
        <v>18547.32</v>
      </c>
      <c r="AH84" s="125">
        <f>SUM(F84,H84,J84,L84,M84,N84,O84,P84,Q84,R84,T84,U84,V84,X84,Y84,Z84,AA84,AC84,AD84,AF84,AG84)*Valores!$C$104</f>
        <v>50630.287000000011</v>
      </c>
      <c r="AI84" s="125">
        <f t="shared" si="16"/>
        <v>556933.15700000012</v>
      </c>
      <c r="AJ84" s="125">
        <f>Valores!$C$31</f>
        <v>35000</v>
      </c>
      <c r="AK84" s="125">
        <v>0</v>
      </c>
      <c r="AL84" s="125">
        <f>Valores!$C$89</f>
        <v>0</v>
      </c>
      <c r="AM84" s="125">
        <f>Valores!C$39*B84</f>
        <v>0</v>
      </c>
      <c r="AN84" s="125">
        <f>IF($F$3="NO",0,Valores!$C$57)</f>
        <v>0</v>
      </c>
      <c r="AO84" s="125">
        <f t="shared" si="14"/>
        <v>35000</v>
      </c>
      <c r="AP84" s="125">
        <f>AI84*Valores!$C$72</f>
        <v>-61262.647270000016</v>
      </c>
      <c r="AQ84" s="125">
        <f>IF(AI84&lt;Valores!$E$73,-0.02,IF(AI84&lt;Valores!$F$73,-0.03,-0.04))*AI84</f>
        <v>-11138.663140000002</v>
      </c>
      <c r="AR84" s="125">
        <f>AI84*Valores!$C$75</f>
        <v>-30631.323635000008</v>
      </c>
      <c r="AS84" s="125">
        <f>Valores!$C$102</f>
        <v>-1270.1600000000001</v>
      </c>
      <c r="AT84" s="125">
        <f>IF($F$5=0,Valores!$C$103,(Valores!$C$103+$F$5*(Valores!$C$103)))</f>
        <v>-3700</v>
      </c>
      <c r="AU84" s="125">
        <f t="shared" si="17"/>
        <v>483930.36295500008</v>
      </c>
      <c r="AV84" s="125">
        <f t="shared" si="11"/>
        <v>-61262.647270000016</v>
      </c>
      <c r="AW84" s="125">
        <f t="shared" si="18"/>
        <v>-11138.663140000002</v>
      </c>
      <c r="AX84" s="125">
        <f>AI84*Valores!$C$76</f>
        <v>-15037.195239000002</v>
      </c>
      <c r="AY84" s="125">
        <f>AI84*Valores!$C$77</f>
        <v>-1670.7994710000005</v>
      </c>
      <c r="AZ84" s="125">
        <f t="shared" si="15"/>
        <v>502823.85188000009</v>
      </c>
      <c r="BA84" s="125">
        <f>AI84*Valores!$C$79</f>
        <v>89109.305120000019</v>
      </c>
      <c r="BB84" s="125">
        <f>AI84*Valores!$C$80</f>
        <v>38985.320990000015</v>
      </c>
      <c r="BC84" s="125">
        <f>AI84*Valores!$C$81</f>
        <v>5569.3315700000012</v>
      </c>
      <c r="BD84" s="125">
        <f>AI84*Valores!$C$83</f>
        <v>19492.660495000007</v>
      </c>
      <c r="BE84" s="125">
        <f>AI84*Valores!$C$85</f>
        <v>30074.390478000005</v>
      </c>
      <c r="BF84" s="125">
        <f>AI84*Valores!$C$84</f>
        <v>3341.598942000001</v>
      </c>
      <c r="BG84" s="126"/>
      <c r="BH84" s="126">
        <v>25</v>
      </c>
      <c r="BI84" s="123" t="s">
        <v>8</v>
      </c>
    </row>
    <row r="85" spans="1:61" s="110" customFormat="1" ht="11.25" customHeight="1" x14ac:dyDescent="0.15">
      <c r="A85" s="123" t="s">
        <v>258</v>
      </c>
      <c r="B85" s="123">
        <v>1</v>
      </c>
      <c r="C85" s="126">
        <v>78</v>
      </c>
      <c r="D85" s="124" t="s">
        <v>259</v>
      </c>
      <c r="E85" s="192">
        <v>78</v>
      </c>
      <c r="F85" s="125">
        <f>ROUND(E85*Valores!$C$2,2)</f>
        <v>6052.54</v>
      </c>
      <c r="G85" s="192">
        <v>1770</v>
      </c>
      <c r="H85" s="125">
        <f>ROUND(G85*Valores!$C$2,2)</f>
        <v>137346.16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51577.45</v>
      </c>
      <c r="N85" s="125">
        <f t="shared" si="12"/>
        <v>0</v>
      </c>
      <c r="O85" s="125">
        <f>Valores!$C$10</f>
        <v>79402.75</v>
      </c>
      <c r="P85" s="125">
        <f>Valores!$D$5</f>
        <v>39667.43</v>
      </c>
      <c r="Q85" s="125">
        <f>Valores!$C$22</f>
        <v>35387.42</v>
      </c>
      <c r="R85" s="125">
        <f>IF($F$4="NO",Valores!$C$44,Valores!$C$44/2)</f>
        <v>26002.29</v>
      </c>
      <c r="S85" s="125">
        <f>Valores!$C$19</f>
        <v>36908.81</v>
      </c>
      <c r="T85" s="125">
        <f t="shared" si="19"/>
        <v>36908.81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Valores!$C$96</f>
        <v>54315.88</v>
      </c>
      <c r="AA85" s="125">
        <f>Valores!$C$25</f>
        <v>1622.32</v>
      </c>
      <c r="AB85" s="214">
        <v>0</v>
      </c>
      <c r="AC85" s="125">
        <f t="shared" si="13"/>
        <v>0</v>
      </c>
      <c r="AD85" s="125">
        <f>Valores!$C$26</f>
        <v>1622.32</v>
      </c>
      <c r="AE85" s="192">
        <v>0</v>
      </c>
      <c r="AF85" s="125">
        <f>ROUND(AE85*Valores!$C$2,2)</f>
        <v>0</v>
      </c>
      <c r="AG85" s="125">
        <f>ROUND(IF($F$4="NO",Valores!$C$64,Valores!$C$64/2),2)</f>
        <v>18547.32</v>
      </c>
      <c r="AH85" s="125">
        <f>SUM(F85,H85,J85,L85,M85,N85,O85,P85,Q85,R85,T85,U85,V85,X85,Y85,Z85,AA85,AC85,AD85,AF85,AG85)*Valores!$C$104</f>
        <v>48845.269</v>
      </c>
      <c r="AI85" s="125">
        <f t="shared" si="16"/>
        <v>537297.95900000003</v>
      </c>
      <c r="AJ85" s="125">
        <f>Valores!$C$31</f>
        <v>35000</v>
      </c>
      <c r="AK85" s="125">
        <v>0</v>
      </c>
      <c r="AL85" s="125">
        <f>Valores!$C$89</f>
        <v>0</v>
      </c>
      <c r="AM85" s="125">
        <f>Valores!C$39*B85</f>
        <v>0</v>
      </c>
      <c r="AN85" s="125">
        <f>IF($F$3="NO",0,Valores!$C$57)</f>
        <v>0</v>
      </c>
      <c r="AO85" s="125">
        <f t="shared" si="14"/>
        <v>35000</v>
      </c>
      <c r="AP85" s="125">
        <f>AI85*Valores!$C$72</f>
        <v>-59102.775490000007</v>
      </c>
      <c r="AQ85" s="125">
        <f>IF(AI85&lt;Valores!$E$73,-0.02,IF(AI85&lt;Valores!$F$73,-0.03,-0.04))*AI85</f>
        <v>-10745.959180000002</v>
      </c>
      <c r="AR85" s="125">
        <f>AI85*Valores!$C$75</f>
        <v>-29551.387745000004</v>
      </c>
      <c r="AS85" s="125">
        <f>Valores!$C$102</f>
        <v>-1270.1600000000001</v>
      </c>
      <c r="AT85" s="125">
        <f>IF($F$5=0,Valores!$C$103,(Valores!$C$103+$F$5*(Valores!$C$103)))</f>
        <v>-3700</v>
      </c>
      <c r="AU85" s="125">
        <f t="shared" si="17"/>
        <v>467927.67658500001</v>
      </c>
      <c r="AV85" s="125">
        <f t="shared" si="11"/>
        <v>-59102.775490000007</v>
      </c>
      <c r="AW85" s="125">
        <f t="shared" si="18"/>
        <v>-10745.959180000002</v>
      </c>
      <c r="AX85" s="125">
        <f>AI85*Valores!$C$76</f>
        <v>-14507.044893</v>
      </c>
      <c r="AY85" s="125">
        <f>AI85*Valores!$C$77</f>
        <v>-1611.8938770000002</v>
      </c>
      <c r="AZ85" s="125">
        <f t="shared" si="15"/>
        <v>486330.28556000005</v>
      </c>
      <c r="BA85" s="125">
        <f>AI85*Valores!$C$79</f>
        <v>85967.673440000013</v>
      </c>
      <c r="BB85" s="125">
        <f>AI85*Valores!$C$80</f>
        <v>37610.857130000004</v>
      </c>
      <c r="BC85" s="125">
        <f>AI85*Valores!$C$81</f>
        <v>5372.9795900000008</v>
      </c>
      <c r="BD85" s="125">
        <f>AI85*Valores!$C$83</f>
        <v>18805.428565000002</v>
      </c>
      <c r="BE85" s="125">
        <f>AI85*Valores!$C$85</f>
        <v>29014.089786</v>
      </c>
      <c r="BF85" s="125">
        <f>AI85*Valores!$C$84</f>
        <v>3223.7877540000004</v>
      </c>
      <c r="BG85" s="126"/>
      <c r="BH85" s="126">
        <v>27</v>
      </c>
      <c r="BI85" s="123" t="s">
        <v>4</v>
      </c>
    </row>
    <row r="86" spans="1:61" s="110" customFormat="1" ht="11.25" customHeight="1" x14ac:dyDescent="0.15">
      <c r="A86" s="123" t="s">
        <v>260</v>
      </c>
      <c r="B86" s="123">
        <v>1</v>
      </c>
      <c r="C86" s="126">
        <v>79</v>
      </c>
      <c r="D86" s="124" t="s">
        <v>261</v>
      </c>
      <c r="E86" s="192">
        <v>76</v>
      </c>
      <c r="F86" s="125">
        <f>ROUND(E86*Valores!$C$2,2)</f>
        <v>5897.35</v>
      </c>
      <c r="G86" s="192">
        <v>1872</v>
      </c>
      <c r="H86" s="125">
        <f>ROUND(G86*Valores!$C$2,2)</f>
        <v>145261.01999999999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53517.37</v>
      </c>
      <c r="N86" s="125">
        <f t="shared" si="12"/>
        <v>0</v>
      </c>
      <c r="O86" s="125">
        <f>Valores!$C$10</f>
        <v>79402.75</v>
      </c>
      <c r="P86" s="125">
        <f>Valores!$D$5</f>
        <v>39667.43</v>
      </c>
      <c r="Q86" s="125">
        <v>0</v>
      </c>
      <c r="R86" s="125">
        <f>IF($F$4="NO",Valores!$C$44,Valores!$C$44/2)</f>
        <v>26002.29</v>
      </c>
      <c r="S86" s="125">
        <f>Valores!$C$19</f>
        <v>36908.81</v>
      </c>
      <c r="T86" s="125">
        <f t="shared" si="19"/>
        <v>36908.81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Valores!$C$96</f>
        <v>54315.88</v>
      </c>
      <c r="AA86" s="125">
        <f>Valores!$C$25</f>
        <v>1622.32</v>
      </c>
      <c r="AB86" s="214">
        <v>0</v>
      </c>
      <c r="AC86" s="125">
        <f t="shared" si="13"/>
        <v>0</v>
      </c>
      <c r="AD86" s="125">
        <f>Valores!$C$26</f>
        <v>1622.32</v>
      </c>
      <c r="AE86" s="192">
        <v>0</v>
      </c>
      <c r="AF86" s="125">
        <f>ROUND(AE86*Valores!$C$2,2)</f>
        <v>0</v>
      </c>
      <c r="AG86" s="125">
        <f>ROUND(IF($F$4="NO",Valores!$C$64,Valores!$C$64/2),2)</f>
        <v>18547.32</v>
      </c>
      <c r="AH86" s="125">
        <f>SUM(F86,H86,J86,L86,M86,N86,O86,P86,Q86,R86,T86,U86,V86,X86,Y86,Z86,AA86,AC86,AD86,AF86,AG86)*Valores!$C$104</f>
        <v>46276.486000000004</v>
      </c>
      <c r="AI86" s="125">
        <f t="shared" si="16"/>
        <v>509041.34600000002</v>
      </c>
      <c r="AJ86" s="125">
        <f>Valores!$C$31</f>
        <v>35000</v>
      </c>
      <c r="AK86" s="125">
        <v>0</v>
      </c>
      <c r="AL86" s="125">
        <f>Valores!$C$89</f>
        <v>0</v>
      </c>
      <c r="AM86" s="125">
        <f>Valores!C$39*B86</f>
        <v>0</v>
      </c>
      <c r="AN86" s="125">
        <f>IF($F$3="NO",0,Valores!$C$57)</f>
        <v>0</v>
      </c>
      <c r="AO86" s="125">
        <f t="shared" si="14"/>
        <v>35000</v>
      </c>
      <c r="AP86" s="125">
        <f>AI86*Valores!$C$72</f>
        <v>-55994.548060000001</v>
      </c>
      <c r="AQ86" s="125">
        <f>IF(AI86&lt;Valores!$E$73,-0.02,IF(AI86&lt;Valores!$F$73,-0.03,-0.04))*AI86</f>
        <v>-10180.826920000001</v>
      </c>
      <c r="AR86" s="125">
        <f>AI86*Valores!$C$75</f>
        <v>-27997.27403</v>
      </c>
      <c r="AS86" s="125">
        <f>Valores!$C$102</f>
        <v>-1270.1600000000001</v>
      </c>
      <c r="AT86" s="125">
        <f>IF($F$5=0,Valores!$C$103,(Valores!$C$103+$F$5*(Valores!$C$103)))</f>
        <v>-3700</v>
      </c>
      <c r="AU86" s="125">
        <f t="shared" si="17"/>
        <v>444898.53698999999</v>
      </c>
      <c r="AV86" s="125">
        <f t="shared" si="11"/>
        <v>-55994.548060000001</v>
      </c>
      <c r="AW86" s="125">
        <f t="shared" si="18"/>
        <v>-10180.826920000001</v>
      </c>
      <c r="AX86" s="125">
        <f>AI86*Valores!$C$76</f>
        <v>-13744.116342000001</v>
      </c>
      <c r="AY86" s="125">
        <f>AI86*Valores!$C$77</f>
        <v>-1527.1240380000002</v>
      </c>
      <c r="AZ86" s="125">
        <f t="shared" si="15"/>
        <v>462594.73064000002</v>
      </c>
      <c r="BA86" s="125">
        <f>AI86*Valores!$C$79</f>
        <v>81446.615360000011</v>
      </c>
      <c r="BB86" s="125">
        <f>AI86*Valores!$C$80</f>
        <v>35632.894220000002</v>
      </c>
      <c r="BC86" s="125">
        <f>AI86*Valores!$C$81</f>
        <v>5090.4134600000007</v>
      </c>
      <c r="BD86" s="125">
        <f>AI86*Valores!$C$83</f>
        <v>17816.447110000001</v>
      </c>
      <c r="BE86" s="125">
        <f>AI86*Valores!$C$85</f>
        <v>27488.232684000002</v>
      </c>
      <c r="BF86" s="125">
        <f>AI86*Valores!$C$84</f>
        <v>3054.2480760000003</v>
      </c>
      <c r="BG86" s="126"/>
      <c r="BH86" s="126">
        <v>27</v>
      </c>
      <c r="BI86" s="123" t="s">
        <v>4</v>
      </c>
    </row>
    <row r="87" spans="1:61" s="110" customFormat="1" ht="11.25" customHeight="1" x14ac:dyDescent="0.15">
      <c r="A87" s="123" t="s">
        <v>262</v>
      </c>
      <c r="B87" s="123">
        <v>1</v>
      </c>
      <c r="C87" s="126">
        <v>80</v>
      </c>
      <c r="D87" s="124" t="s">
        <v>263</v>
      </c>
      <c r="E87" s="192">
        <v>169</v>
      </c>
      <c r="F87" s="125">
        <f>ROUND(E87*Valores!$C$2,2)</f>
        <v>13113.84</v>
      </c>
      <c r="G87" s="192">
        <f>1997</f>
        <v>1997</v>
      </c>
      <c r="H87" s="125">
        <f>ROUND(G87*Valores!$C$2,2)</f>
        <v>154960.60999999999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58134.52</v>
      </c>
      <c r="N87" s="125">
        <f t="shared" si="12"/>
        <v>0</v>
      </c>
      <c r="O87" s="125">
        <f>Valores!$C$9</f>
        <v>97503.47</v>
      </c>
      <c r="P87" s="125">
        <f>Valores!$D$5</f>
        <v>39667.43</v>
      </c>
      <c r="Q87" s="125">
        <f>Valores!$C$22</f>
        <v>35387.42</v>
      </c>
      <c r="R87" s="125">
        <f>IF($F$4="NO",Valores!$C$45,Valores!$C$45/2)</f>
        <v>27554.83</v>
      </c>
      <c r="S87" s="125">
        <f>Valores!$C$19</f>
        <v>36908.81</v>
      </c>
      <c r="T87" s="125">
        <f t="shared" si="19"/>
        <v>36908.81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Valores!$C$96</f>
        <v>54315.88</v>
      </c>
      <c r="AA87" s="125">
        <f>Valores!$C$25</f>
        <v>1622.32</v>
      </c>
      <c r="AB87" s="214">
        <v>0</v>
      </c>
      <c r="AC87" s="125">
        <f t="shared" si="13"/>
        <v>0</v>
      </c>
      <c r="AD87" s="125">
        <f>Valores!$C$26</f>
        <v>1622.32</v>
      </c>
      <c r="AE87" s="192">
        <v>0</v>
      </c>
      <c r="AF87" s="125">
        <f>ROUND(AE87*Valores!$C$2,2)</f>
        <v>0</v>
      </c>
      <c r="AG87" s="125">
        <f>ROUND(IF($F$4="NO",Valores!$C$64,Valores!$C$64/2),2)</f>
        <v>18547.32</v>
      </c>
      <c r="AH87" s="125">
        <f>SUM(F87,H87,J87,L87,M87,N87,O87,P87,Q87,R87,T87,U87,V87,X87,Y87,Z87,AA87,AC87,AD87,AF87,AG87)*Valores!$C$104</f>
        <v>53933.876999999993</v>
      </c>
      <c r="AI87" s="125">
        <f t="shared" si="16"/>
        <v>593272.64699999988</v>
      </c>
      <c r="AJ87" s="125">
        <f>Valores!$C$31</f>
        <v>35000</v>
      </c>
      <c r="AK87" s="125">
        <v>0</v>
      </c>
      <c r="AL87" s="125">
        <f>Valores!$C$89</f>
        <v>0</v>
      </c>
      <c r="AM87" s="125">
        <f>Valores!C$39*B87</f>
        <v>0</v>
      </c>
      <c r="AN87" s="125">
        <f>IF($F$3="NO",0,Valores!$C$57)</f>
        <v>0</v>
      </c>
      <c r="AO87" s="125">
        <f t="shared" si="14"/>
        <v>35000</v>
      </c>
      <c r="AP87" s="125">
        <f>AI87*Valores!$C$72</f>
        <v>-65259.991169999987</v>
      </c>
      <c r="AQ87" s="125">
        <f>IF(AI87&lt;Valores!$E$73,-0.02,IF(AI87&lt;Valores!$F$73,-0.03,-0.04))*AI87</f>
        <v>-11865.452939999997</v>
      </c>
      <c r="AR87" s="125">
        <f>AI87*Valores!$C$75</f>
        <v>-32629.995584999993</v>
      </c>
      <c r="AS87" s="125">
        <f>Valores!$C$102</f>
        <v>-1270.1600000000001</v>
      </c>
      <c r="AT87" s="125">
        <f>IF($F$5=0,Valores!$C$103,(Valores!$C$103+$F$5*(Valores!$C$103)))</f>
        <v>-3700</v>
      </c>
      <c r="AU87" s="125">
        <f t="shared" si="17"/>
        <v>513547.0473049999</v>
      </c>
      <c r="AV87" s="125">
        <f t="shared" si="11"/>
        <v>-65259.991169999987</v>
      </c>
      <c r="AW87" s="125">
        <f t="shared" si="18"/>
        <v>-11865.452939999997</v>
      </c>
      <c r="AX87" s="125">
        <f>AI87*Valores!$C$76</f>
        <v>-16018.361468999996</v>
      </c>
      <c r="AY87" s="125">
        <f>AI87*Valores!$C$77</f>
        <v>-1779.8179409999998</v>
      </c>
      <c r="AZ87" s="125">
        <f t="shared" si="15"/>
        <v>533349.02347999986</v>
      </c>
      <c r="BA87" s="125">
        <f>AI87*Valores!$C$79</f>
        <v>94923.623519999979</v>
      </c>
      <c r="BB87" s="125">
        <f>AI87*Valores!$C$80</f>
        <v>41529.085289999995</v>
      </c>
      <c r="BC87" s="125">
        <f>AI87*Valores!$C$81</f>
        <v>5932.7264699999987</v>
      </c>
      <c r="BD87" s="125">
        <f>AI87*Valores!$C$83</f>
        <v>20764.542644999998</v>
      </c>
      <c r="BE87" s="125">
        <f>AI87*Valores!$C$85</f>
        <v>32036.722937999992</v>
      </c>
      <c r="BF87" s="125">
        <f>AI87*Valores!$C$84</f>
        <v>3559.6358819999996</v>
      </c>
      <c r="BG87" s="126"/>
      <c r="BH87" s="126">
        <v>25</v>
      </c>
      <c r="BI87" s="123" t="s">
        <v>8</v>
      </c>
    </row>
    <row r="88" spans="1:61" s="110" customFormat="1" ht="11.25" customHeight="1" x14ac:dyDescent="0.15">
      <c r="A88" s="123" t="s">
        <v>264</v>
      </c>
      <c r="B88" s="123">
        <v>1</v>
      </c>
      <c r="C88" s="126">
        <v>81</v>
      </c>
      <c r="D88" s="124" t="s">
        <v>265</v>
      </c>
      <c r="E88" s="192">
        <v>218</v>
      </c>
      <c r="F88" s="125">
        <f>ROUND(E88*Valores!$C$2,2)</f>
        <v>16916.080000000002</v>
      </c>
      <c r="G88" s="192">
        <f>1997</f>
        <v>1997</v>
      </c>
      <c r="H88" s="125">
        <f>ROUND(G88*Valores!$C$2,2)</f>
        <v>154960.60999999999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59085.08</v>
      </c>
      <c r="N88" s="125">
        <f t="shared" si="12"/>
        <v>0</v>
      </c>
      <c r="O88" s="125">
        <f>Valores!$C$15</f>
        <v>112114.37</v>
      </c>
      <c r="P88" s="125">
        <f>Valores!$D$5</f>
        <v>39667.43</v>
      </c>
      <c r="Q88" s="125">
        <f>Valores!$C$22</f>
        <v>35387.42</v>
      </c>
      <c r="R88" s="125">
        <f>IF($F$4="NO",Valores!$C$45,Valores!$C$45/2)</f>
        <v>27554.83</v>
      </c>
      <c r="S88" s="125">
        <f>Valores!$C$19</f>
        <v>36908.81</v>
      </c>
      <c r="T88" s="125">
        <f t="shared" si="19"/>
        <v>36908.81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Valores!$C$96</f>
        <v>54315.88</v>
      </c>
      <c r="AA88" s="125">
        <f>Valores!$C$25</f>
        <v>1622.32</v>
      </c>
      <c r="AB88" s="214">
        <v>0</v>
      </c>
      <c r="AC88" s="125">
        <f t="shared" si="13"/>
        <v>0</v>
      </c>
      <c r="AD88" s="125">
        <f>Valores!$C$26</f>
        <v>1622.32</v>
      </c>
      <c r="AE88" s="192">
        <v>0</v>
      </c>
      <c r="AF88" s="125">
        <f>ROUND(AE88*Valores!$C$2,2)</f>
        <v>0</v>
      </c>
      <c r="AG88" s="125">
        <f>ROUND(IF($F$4="NO",Valores!$C$64,Valores!$C$64/2),2)</f>
        <v>18547.32</v>
      </c>
      <c r="AH88" s="125">
        <f>SUM(F88,H88,J88,L88,M88,N88,O88,P88,Q88,R88,T88,U88,V88,X88,Y88,Z88,AA88,AC88,AD88,AF88,AG88)*Valores!$C$104</f>
        <v>55870.246999999988</v>
      </c>
      <c r="AI88" s="125">
        <f t="shared" si="16"/>
        <v>614572.71699999983</v>
      </c>
      <c r="AJ88" s="125">
        <f>Valores!$C$31</f>
        <v>35000</v>
      </c>
      <c r="AK88" s="125">
        <v>0</v>
      </c>
      <c r="AL88" s="125">
        <f>Valores!$C$89</f>
        <v>0</v>
      </c>
      <c r="AM88" s="125">
        <f>Valores!C$39*B88</f>
        <v>0</v>
      </c>
      <c r="AN88" s="125">
        <f>IF($F$3="NO",0,Valores!$C$57)</f>
        <v>0</v>
      </c>
      <c r="AO88" s="125">
        <f t="shared" si="14"/>
        <v>35000</v>
      </c>
      <c r="AP88" s="125">
        <f>AI88*Valores!$C$72</f>
        <v>-67602.998869999981</v>
      </c>
      <c r="AQ88" s="125">
        <f>IF(AI88&lt;Valores!$E$73,-0.02,IF(AI88&lt;Valores!$F$73,-0.03,-0.04))*AI88</f>
        <v>-12291.454339999997</v>
      </c>
      <c r="AR88" s="125">
        <f>AI88*Valores!$C$75</f>
        <v>-33801.499434999991</v>
      </c>
      <c r="AS88" s="125">
        <f>Valores!$C$102</f>
        <v>-1270.1600000000001</v>
      </c>
      <c r="AT88" s="125">
        <f>IF($F$5=0,Valores!$C$103,(Valores!$C$103+$F$5*(Valores!$C$103)))</f>
        <v>-3700</v>
      </c>
      <c r="AU88" s="125">
        <f t="shared" si="17"/>
        <v>530906.60435499984</v>
      </c>
      <c r="AV88" s="125">
        <f t="shared" si="11"/>
        <v>-67602.998869999981</v>
      </c>
      <c r="AW88" s="125">
        <f t="shared" si="18"/>
        <v>-12291.454339999997</v>
      </c>
      <c r="AX88" s="125">
        <f>AI88*Valores!$C$76</f>
        <v>-16593.463358999994</v>
      </c>
      <c r="AY88" s="125">
        <f>AI88*Valores!$C$77</f>
        <v>-1843.7181509999996</v>
      </c>
      <c r="AZ88" s="125">
        <f t="shared" si="15"/>
        <v>551241.08227999986</v>
      </c>
      <c r="BA88" s="125">
        <f>AI88*Valores!$C$79</f>
        <v>98331.634719999973</v>
      </c>
      <c r="BB88" s="125">
        <f>AI88*Valores!$C$80</f>
        <v>43020.090189999995</v>
      </c>
      <c r="BC88" s="125">
        <f>AI88*Valores!$C$81</f>
        <v>6145.7271699999983</v>
      </c>
      <c r="BD88" s="125">
        <f>AI88*Valores!$C$83</f>
        <v>21510.045094999998</v>
      </c>
      <c r="BE88" s="125">
        <f>AI88*Valores!$C$85</f>
        <v>33186.926717999988</v>
      </c>
      <c r="BF88" s="125">
        <f>AI88*Valores!$C$84</f>
        <v>3687.4363019999992</v>
      </c>
      <c r="BG88" s="126"/>
      <c r="BH88" s="126">
        <v>25</v>
      </c>
      <c r="BI88" s="123" t="s">
        <v>4</v>
      </c>
    </row>
    <row r="89" spans="1:61" s="110" customFormat="1" ht="11.25" customHeight="1" x14ac:dyDescent="0.15">
      <c r="A89" s="123" t="s">
        <v>264</v>
      </c>
      <c r="B89" s="123">
        <v>1</v>
      </c>
      <c r="C89" s="126">
        <v>82</v>
      </c>
      <c r="D89" s="124" t="s">
        <v>266</v>
      </c>
      <c r="E89" s="192">
        <v>218</v>
      </c>
      <c r="F89" s="125">
        <f>ROUND(E89*Valores!$C$2,2)</f>
        <v>16916.080000000002</v>
      </c>
      <c r="G89" s="192">
        <f>1997</f>
        <v>1997</v>
      </c>
      <c r="H89" s="125">
        <f>ROUND(G89*Valores!$C$2,2)</f>
        <v>154960.60999999999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59085.08</v>
      </c>
      <c r="N89" s="125">
        <f t="shared" si="12"/>
        <v>0</v>
      </c>
      <c r="O89" s="125">
        <f>Valores!$C$15</f>
        <v>112114.37</v>
      </c>
      <c r="P89" s="125">
        <f>Valores!$D$5</f>
        <v>39667.43</v>
      </c>
      <c r="Q89" s="125">
        <f>Valores!$C$22</f>
        <v>35387.42</v>
      </c>
      <c r="R89" s="125">
        <f>IF($F$4="NO",Valores!$C$45,Valores!$C$45/2)</f>
        <v>27554.83</v>
      </c>
      <c r="S89" s="125">
        <f>Valores!$C$19</f>
        <v>36908.81</v>
      </c>
      <c r="T89" s="125">
        <f t="shared" si="19"/>
        <v>36908.81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Valores!$C$96</f>
        <v>54315.88</v>
      </c>
      <c r="AA89" s="125">
        <f>Valores!$C$25</f>
        <v>1622.32</v>
      </c>
      <c r="AB89" s="214">
        <v>0</v>
      </c>
      <c r="AC89" s="125">
        <f t="shared" si="13"/>
        <v>0</v>
      </c>
      <c r="AD89" s="125">
        <f>Valores!$C$26</f>
        <v>1622.32</v>
      </c>
      <c r="AE89" s="192">
        <v>19</v>
      </c>
      <c r="AF89" s="125">
        <f>ROUND(AE89*Valores!$C$2,2)</f>
        <v>1474.34</v>
      </c>
      <c r="AG89" s="125">
        <f>ROUND(IF($F$4="NO",Valores!$C$64,Valores!$C$64/2),2)</f>
        <v>18547.32</v>
      </c>
      <c r="AH89" s="125">
        <f>SUM(F89,H89,J89,L89,M89,N89,O89,P89,Q89,R89,T89,U89,V89,X89,Y89,Z89,AA89,AC89,AD89,AF89,AG89)*Valores!$C$104</f>
        <v>56017.680999999982</v>
      </c>
      <c r="AI89" s="125">
        <f t="shared" si="16"/>
        <v>616194.49099999981</v>
      </c>
      <c r="AJ89" s="125">
        <f>Valores!$C$31</f>
        <v>35000</v>
      </c>
      <c r="AK89" s="125">
        <v>0</v>
      </c>
      <c r="AL89" s="125">
        <f>Valores!$C$89</f>
        <v>0</v>
      </c>
      <c r="AM89" s="125">
        <f>Valores!C$39*B89</f>
        <v>0</v>
      </c>
      <c r="AN89" s="125">
        <f>IF($F$3="NO",0,Valores!$C$57)</f>
        <v>0</v>
      </c>
      <c r="AO89" s="125">
        <f t="shared" si="14"/>
        <v>35000</v>
      </c>
      <c r="AP89" s="125">
        <f>AI89*Valores!$C$72</f>
        <v>-67781.394009999975</v>
      </c>
      <c r="AQ89" s="125">
        <f>IF(AI89&lt;Valores!$E$73,-0.02,IF(AI89&lt;Valores!$F$73,-0.03,-0.04))*AI89</f>
        <v>-12323.889819999997</v>
      </c>
      <c r="AR89" s="125">
        <f>AI89*Valores!$C$75</f>
        <v>-33890.697004999987</v>
      </c>
      <c r="AS89" s="125">
        <f>Valores!$C$102</f>
        <v>-1270.1600000000001</v>
      </c>
      <c r="AT89" s="125">
        <f>IF($F$5=0,Valores!$C$103,(Valores!$C$103+$F$5*(Valores!$C$103)))</f>
        <v>-3700</v>
      </c>
      <c r="AU89" s="125">
        <f t="shared" si="17"/>
        <v>532228.35016499984</v>
      </c>
      <c r="AV89" s="125">
        <f t="shared" si="11"/>
        <v>-67781.394009999975</v>
      </c>
      <c r="AW89" s="125">
        <f t="shared" si="18"/>
        <v>-12323.889819999997</v>
      </c>
      <c r="AX89" s="125">
        <f>AI89*Valores!$C$76</f>
        <v>-16637.251256999996</v>
      </c>
      <c r="AY89" s="125">
        <f>AI89*Valores!$C$77</f>
        <v>-1848.5834729999995</v>
      </c>
      <c r="AZ89" s="125">
        <f t="shared" si="15"/>
        <v>552603.37243999983</v>
      </c>
      <c r="BA89" s="125">
        <f>AI89*Valores!$C$79</f>
        <v>98591.118559999974</v>
      </c>
      <c r="BB89" s="125">
        <f>AI89*Valores!$C$80</f>
        <v>43133.614369999988</v>
      </c>
      <c r="BC89" s="125">
        <f>AI89*Valores!$C$81</f>
        <v>6161.9449099999983</v>
      </c>
      <c r="BD89" s="125">
        <f>AI89*Valores!$C$83</f>
        <v>21566.807184999994</v>
      </c>
      <c r="BE89" s="125">
        <f>AI89*Valores!$C$85</f>
        <v>33274.502513999993</v>
      </c>
      <c r="BF89" s="125">
        <f>AI89*Valores!$C$84</f>
        <v>3697.1669459999989</v>
      </c>
      <c r="BG89" s="126"/>
      <c r="BH89" s="126">
        <v>25</v>
      </c>
      <c r="BI89" s="123" t="s">
        <v>4</v>
      </c>
    </row>
    <row r="90" spans="1:61" s="110" customFormat="1" ht="11.25" customHeight="1" x14ac:dyDescent="0.15">
      <c r="A90" s="123" t="s">
        <v>267</v>
      </c>
      <c r="B90" s="123">
        <v>1</v>
      </c>
      <c r="C90" s="126">
        <v>83</v>
      </c>
      <c r="D90" s="124" t="s">
        <v>268</v>
      </c>
      <c r="E90" s="192">
        <v>187</v>
      </c>
      <c r="F90" s="125">
        <f>ROUND(E90*Valores!$C$2,2)</f>
        <v>14510.58</v>
      </c>
      <c r="G90" s="192">
        <v>1704</v>
      </c>
      <c r="H90" s="125">
        <f>ROUND(G90*Valores!$C$2,2)</f>
        <v>132224.78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52799.75</v>
      </c>
      <c r="N90" s="125">
        <f t="shared" si="12"/>
        <v>0</v>
      </c>
      <c r="O90" s="125">
        <f>Valores!$C$9</f>
        <v>97503.47</v>
      </c>
      <c r="P90" s="125">
        <f>Valores!$D$5</f>
        <v>39667.43</v>
      </c>
      <c r="Q90" s="125">
        <f>Valores!$C$22</f>
        <v>35387.42</v>
      </c>
      <c r="R90" s="125">
        <f>IF($F$4="NO",Valores!$C$45,Valores!$C$45/2)</f>
        <v>27554.83</v>
      </c>
      <c r="S90" s="125">
        <f>Valores!$C$19</f>
        <v>36908.81</v>
      </c>
      <c r="T90" s="125">
        <f t="shared" si="19"/>
        <v>36908.81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Valores!$C$96</f>
        <v>54315.88</v>
      </c>
      <c r="AA90" s="125">
        <f>Valores!$C$25</f>
        <v>1622.32</v>
      </c>
      <c r="AB90" s="214">
        <v>0</v>
      </c>
      <c r="AC90" s="125">
        <f t="shared" si="13"/>
        <v>0</v>
      </c>
      <c r="AD90" s="125">
        <f>Valores!$C$26</f>
        <v>1622.32</v>
      </c>
      <c r="AE90" s="192">
        <v>0</v>
      </c>
      <c r="AF90" s="125">
        <f>ROUND(AE90*Valores!$C$2,2)</f>
        <v>0</v>
      </c>
      <c r="AG90" s="125">
        <f>ROUND(IF($F$4="NO",Valores!$C$64,Valores!$C$64/2),2)</f>
        <v>18547.32</v>
      </c>
      <c r="AH90" s="125">
        <f>SUM(F90,H90,J90,L90,M90,N90,O90,P90,Q90,R90,T90,U90,V90,X90,Y90,Z90,AA90,AC90,AD90,AF90,AG90)*Valores!$C$104</f>
        <v>51266.491000000002</v>
      </c>
      <c r="AI90" s="125">
        <f t="shared" si="16"/>
        <v>563931.40099999995</v>
      </c>
      <c r="AJ90" s="125">
        <f>Valores!$C$31</f>
        <v>35000</v>
      </c>
      <c r="AK90" s="125">
        <v>0</v>
      </c>
      <c r="AL90" s="125">
        <f>Valores!$C$89</f>
        <v>0</v>
      </c>
      <c r="AM90" s="125">
        <f>Valores!C$39*B90</f>
        <v>0</v>
      </c>
      <c r="AN90" s="125">
        <f>IF($F$3="NO",0,Valores!$C$57)</f>
        <v>0</v>
      </c>
      <c r="AO90" s="125">
        <f t="shared" si="14"/>
        <v>35000</v>
      </c>
      <c r="AP90" s="125">
        <f>AI90*Valores!$C$72</f>
        <v>-62032.454109999999</v>
      </c>
      <c r="AQ90" s="125">
        <f>IF(AI90&lt;Valores!$E$73,-0.02,IF(AI90&lt;Valores!$F$73,-0.03,-0.04))*AI90</f>
        <v>-11278.62802</v>
      </c>
      <c r="AR90" s="125">
        <f>AI90*Valores!$C$75</f>
        <v>-31016.227054999999</v>
      </c>
      <c r="AS90" s="125">
        <f>Valores!$C$102</f>
        <v>-1270.1600000000001</v>
      </c>
      <c r="AT90" s="125">
        <f>IF($F$5=0,Valores!$C$103,(Valores!$C$103+$F$5*(Valores!$C$103)))</f>
        <v>-3700</v>
      </c>
      <c r="AU90" s="125">
        <f t="shared" si="17"/>
        <v>489633.93181499996</v>
      </c>
      <c r="AV90" s="125">
        <f t="shared" si="11"/>
        <v>-62032.454109999999</v>
      </c>
      <c r="AW90" s="125">
        <f t="shared" si="18"/>
        <v>-11278.62802</v>
      </c>
      <c r="AX90" s="125">
        <f>AI90*Valores!$C$76</f>
        <v>-15226.147826999999</v>
      </c>
      <c r="AY90" s="125">
        <f>AI90*Valores!$C$77</f>
        <v>-1691.7942029999999</v>
      </c>
      <c r="AZ90" s="125">
        <f t="shared" si="15"/>
        <v>508702.37683999998</v>
      </c>
      <c r="BA90" s="125">
        <f>AI90*Valores!$C$79</f>
        <v>90229.024160000001</v>
      </c>
      <c r="BB90" s="125">
        <f>AI90*Valores!$C$80</f>
        <v>39475.198069999999</v>
      </c>
      <c r="BC90" s="125">
        <f>AI90*Valores!$C$81</f>
        <v>5639.3140100000001</v>
      </c>
      <c r="BD90" s="125">
        <f>AI90*Valores!$C$83</f>
        <v>19737.599034999999</v>
      </c>
      <c r="BE90" s="125">
        <f>AI90*Valores!$C$85</f>
        <v>30452.295653999998</v>
      </c>
      <c r="BF90" s="125">
        <f>AI90*Valores!$C$84</f>
        <v>3383.5884059999998</v>
      </c>
      <c r="BG90" s="126"/>
      <c r="BH90" s="126">
        <v>25</v>
      </c>
      <c r="BI90" s="123" t="s">
        <v>4</v>
      </c>
    </row>
    <row r="91" spans="1:61" s="110" customFormat="1" ht="11.25" customHeight="1" x14ac:dyDescent="0.15">
      <c r="A91" s="123" t="s">
        <v>267</v>
      </c>
      <c r="B91" s="123">
        <v>1</v>
      </c>
      <c r="C91" s="126">
        <v>84</v>
      </c>
      <c r="D91" s="124" t="s">
        <v>269</v>
      </c>
      <c r="E91" s="192">
        <v>187</v>
      </c>
      <c r="F91" s="125">
        <f>ROUND(E91*Valores!$C$2,2)</f>
        <v>14510.58</v>
      </c>
      <c r="G91" s="192">
        <v>1704</v>
      </c>
      <c r="H91" s="125">
        <f>ROUND(G91*Valores!$C$2,2)</f>
        <v>132224.78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52799.75</v>
      </c>
      <c r="N91" s="125">
        <f t="shared" si="12"/>
        <v>0</v>
      </c>
      <c r="O91" s="125">
        <f>Valores!$C$9</f>
        <v>97503.47</v>
      </c>
      <c r="P91" s="125">
        <f>Valores!$D$5</f>
        <v>39667.43</v>
      </c>
      <c r="Q91" s="125">
        <f>Valores!$C$22</f>
        <v>35387.42</v>
      </c>
      <c r="R91" s="125">
        <f>IF($F$4="NO",Valores!$C$45,Valores!$C$45/2)</f>
        <v>27554.83</v>
      </c>
      <c r="S91" s="125">
        <f>Valores!$C$19</f>
        <v>36908.81</v>
      </c>
      <c r="T91" s="125">
        <f t="shared" si="19"/>
        <v>36908.81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Valores!$C$96</f>
        <v>54315.88</v>
      </c>
      <c r="AA91" s="125">
        <f>Valores!$C$25</f>
        <v>1622.32</v>
      </c>
      <c r="AB91" s="214">
        <v>0</v>
      </c>
      <c r="AC91" s="125">
        <f t="shared" si="13"/>
        <v>0</v>
      </c>
      <c r="AD91" s="125">
        <f>Valores!$C$26</f>
        <v>1622.32</v>
      </c>
      <c r="AE91" s="192">
        <v>19</v>
      </c>
      <c r="AF91" s="125">
        <f>ROUND(AE91*Valores!$C$2,2)</f>
        <v>1474.34</v>
      </c>
      <c r="AG91" s="125">
        <f>ROUND(IF($F$4="NO",Valores!$C$64,Valores!$C$64/2),2)</f>
        <v>18547.32</v>
      </c>
      <c r="AH91" s="125">
        <f>SUM(F91,H91,J91,L91,M91,N91,O91,P91,Q91,R91,T91,U91,V91,X91,Y91,Z91,AA91,AC91,AD91,AF91,AG91)*Valores!$C$104</f>
        <v>51413.925000000003</v>
      </c>
      <c r="AI91" s="125">
        <f t="shared" si="16"/>
        <v>565553.17500000005</v>
      </c>
      <c r="AJ91" s="125">
        <f>Valores!$C$31</f>
        <v>35000</v>
      </c>
      <c r="AK91" s="125">
        <v>0</v>
      </c>
      <c r="AL91" s="125">
        <f>Valores!$C$89</f>
        <v>0</v>
      </c>
      <c r="AM91" s="125">
        <f>Valores!C$39*B91</f>
        <v>0</v>
      </c>
      <c r="AN91" s="125">
        <f>IF($F$3="NO",0,Valores!$C$57)</f>
        <v>0</v>
      </c>
      <c r="AO91" s="125">
        <f t="shared" si="14"/>
        <v>35000</v>
      </c>
      <c r="AP91" s="125">
        <f>AI91*Valores!$C$72</f>
        <v>-62210.849250000007</v>
      </c>
      <c r="AQ91" s="125">
        <f>IF(AI91&lt;Valores!$E$73,-0.02,IF(AI91&lt;Valores!$F$73,-0.03,-0.04))*AI91</f>
        <v>-11311.063500000002</v>
      </c>
      <c r="AR91" s="125">
        <f>AI91*Valores!$C$75</f>
        <v>-31105.424625000003</v>
      </c>
      <c r="AS91" s="125">
        <f>Valores!$C$102</f>
        <v>-1270.1600000000001</v>
      </c>
      <c r="AT91" s="125">
        <f>IF($F$5=0,Valores!$C$103,(Valores!$C$103+$F$5*(Valores!$C$103)))</f>
        <v>-3700</v>
      </c>
      <c r="AU91" s="125">
        <f t="shared" si="17"/>
        <v>490955.67762500001</v>
      </c>
      <c r="AV91" s="125">
        <f t="shared" si="11"/>
        <v>-62210.849250000007</v>
      </c>
      <c r="AW91" s="125">
        <f t="shared" si="18"/>
        <v>-11311.063500000002</v>
      </c>
      <c r="AX91" s="125">
        <f>AI91*Valores!$C$76</f>
        <v>-15269.935725000001</v>
      </c>
      <c r="AY91" s="125">
        <f>AI91*Valores!$C$77</f>
        <v>-1696.6595250000003</v>
      </c>
      <c r="AZ91" s="125">
        <f t="shared" si="15"/>
        <v>510064.66700000002</v>
      </c>
      <c r="BA91" s="125">
        <f>AI91*Valores!$C$79</f>
        <v>90488.508000000016</v>
      </c>
      <c r="BB91" s="125">
        <f>AI91*Valores!$C$80</f>
        <v>39588.722250000006</v>
      </c>
      <c r="BC91" s="125">
        <f>AI91*Valores!$C$81</f>
        <v>5655.531750000001</v>
      </c>
      <c r="BD91" s="125">
        <f>AI91*Valores!$C$83</f>
        <v>19794.361125000003</v>
      </c>
      <c r="BE91" s="125">
        <f>AI91*Valores!$C$85</f>
        <v>30539.871450000002</v>
      </c>
      <c r="BF91" s="125">
        <f>AI91*Valores!$C$84</f>
        <v>3393.3190500000005</v>
      </c>
      <c r="BG91" s="126"/>
      <c r="BH91" s="126">
        <v>25</v>
      </c>
      <c r="BI91" s="123" t="s">
        <v>4</v>
      </c>
    </row>
    <row r="92" spans="1:61" s="110" customFormat="1" ht="11.25" customHeight="1" x14ac:dyDescent="0.15">
      <c r="A92" s="123" t="s">
        <v>270</v>
      </c>
      <c r="B92" s="123">
        <v>1</v>
      </c>
      <c r="C92" s="126">
        <v>85</v>
      </c>
      <c r="D92" s="124" t="s">
        <v>271</v>
      </c>
      <c r="E92" s="192">
        <v>161</v>
      </c>
      <c r="F92" s="125">
        <f>ROUND(E92*Valores!$C$2,2)</f>
        <v>12493.07</v>
      </c>
      <c r="G92" s="192">
        <f>1480</f>
        <v>1480</v>
      </c>
      <c r="H92" s="125">
        <f>ROUND(G92*Valores!$C$2,2)</f>
        <v>114843.12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47949.96</v>
      </c>
      <c r="N92" s="125">
        <f t="shared" si="12"/>
        <v>0</v>
      </c>
      <c r="O92" s="125">
        <f>Valores!$C$9</f>
        <v>97503.47</v>
      </c>
      <c r="P92" s="125">
        <f>Valores!$D$5</f>
        <v>39667.43</v>
      </c>
      <c r="Q92" s="125">
        <f>Valores!$C$22</f>
        <v>35387.42</v>
      </c>
      <c r="R92" s="125">
        <f>IF($F$4="NO",Valores!$C$45,Valores!$C$45/2)</f>
        <v>27554.83</v>
      </c>
      <c r="S92" s="125">
        <f>Valores!$C$19</f>
        <v>36908.81</v>
      </c>
      <c r="T92" s="125">
        <f t="shared" si="19"/>
        <v>36908.81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Valores!$C$96</f>
        <v>54315.88</v>
      </c>
      <c r="AA92" s="125">
        <f>Valores!$C$25</f>
        <v>1622.32</v>
      </c>
      <c r="AB92" s="214">
        <v>0</v>
      </c>
      <c r="AC92" s="125">
        <f t="shared" si="13"/>
        <v>0</v>
      </c>
      <c r="AD92" s="125">
        <f>Valores!$C$26</f>
        <v>1622.32</v>
      </c>
      <c r="AE92" s="192">
        <v>0</v>
      </c>
      <c r="AF92" s="125">
        <f>ROUND(AE92*Valores!$C$2,2)</f>
        <v>0</v>
      </c>
      <c r="AG92" s="125">
        <f>ROUND(IF($F$4="NO",Valores!$C$64,Valores!$C$64/2),2)</f>
        <v>18547.32</v>
      </c>
      <c r="AH92" s="125">
        <f>SUM(F92,H92,J92,L92,M92,N92,O92,P92,Q92,R92,T92,U92,V92,X92,Y92,Z92,AA92,AC92,AD92,AF92,AG92)*Valores!$C$104</f>
        <v>48841.595000000001</v>
      </c>
      <c r="AI92" s="125">
        <f t="shared" si="16"/>
        <v>537257.54500000004</v>
      </c>
      <c r="AJ92" s="125">
        <f>Valores!$C$31</f>
        <v>35000</v>
      </c>
      <c r="AK92" s="125">
        <v>0</v>
      </c>
      <c r="AL92" s="125">
        <f>Valores!$C$89</f>
        <v>0</v>
      </c>
      <c r="AM92" s="125">
        <f>Valores!C$39*B92</f>
        <v>0</v>
      </c>
      <c r="AN92" s="125">
        <f>IF($F$3="NO",0,Valores!$C$57)</f>
        <v>0</v>
      </c>
      <c r="AO92" s="125">
        <f t="shared" si="14"/>
        <v>35000</v>
      </c>
      <c r="AP92" s="125">
        <f>AI92*Valores!$C$72</f>
        <v>-59098.329950000007</v>
      </c>
      <c r="AQ92" s="125">
        <f>IF(AI92&lt;Valores!$E$73,-0.02,IF(AI92&lt;Valores!$F$73,-0.03,-0.04))*AI92</f>
        <v>-10745.150900000001</v>
      </c>
      <c r="AR92" s="125">
        <f>AI92*Valores!$C$75</f>
        <v>-29549.164975000003</v>
      </c>
      <c r="AS92" s="125">
        <f>Valores!$C$102</f>
        <v>-1270.1600000000001</v>
      </c>
      <c r="AT92" s="125">
        <f>IF($F$5=0,Valores!$C$103,(Valores!$C$103+$F$5*(Valores!$C$103)))</f>
        <v>-3700</v>
      </c>
      <c r="AU92" s="125">
        <f t="shared" si="17"/>
        <v>467894.739175</v>
      </c>
      <c r="AV92" s="125">
        <f t="shared" si="11"/>
        <v>-59098.329950000007</v>
      </c>
      <c r="AW92" s="125">
        <f t="shared" si="18"/>
        <v>-10745.150900000001</v>
      </c>
      <c r="AX92" s="125">
        <f>AI92*Valores!$C$76</f>
        <v>-14505.953715000001</v>
      </c>
      <c r="AY92" s="125">
        <f>AI92*Valores!$C$77</f>
        <v>-1611.7726350000003</v>
      </c>
      <c r="AZ92" s="125">
        <f t="shared" si="15"/>
        <v>486296.33780000004</v>
      </c>
      <c r="BA92" s="125">
        <f>AI92*Valores!$C$79</f>
        <v>85961.207200000004</v>
      </c>
      <c r="BB92" s="125">
        <f>AI92*Valores!$C$80</f>
        <v>37608.028150000006</v>
      </c>
      <c r="BC92" s="125">
        <f>AI92*Valores!$C$81</f>
        <v>5372.5754500000003</v>
      </c>
      <c r="BD92" s="125">
        <f>AI92*Valores!$C$83</f>
        <v>18804.014075000003</v>
      </c>
      <c r="BE92" s="125">
        <f>AI92*Valores!$C$85</f>
        <v>29011.907430000003</v>
      </c>
      <c r="BF92" s="125">
        <f>AI92*Valores!$C$84</f>
        <v>3223.5452700000005</v>
      </c>
      <c r="BG92" s="126"/>
      <c r="BH92" s="126">
        <v>25</v>
      </c>
      <c r="BI92" s="123" t="s">
        <v>4</v>
      </c>
    </row>
    <row r="93" spans="1:61" s="110" customFormat="1" ht="11.25" customHeight="1" x14ac:dyDescent="0.15">
      <c r="A93" s="123" t="s">
        <v>270</v>
      </c>
      <c r="B93" s="123">
        <v>1</v>
      </c>
      <c r="C93" s="126">
        <v>86</v>
      </c>
      <c r="D93" s="124" t="s">
        <v>272</v>
      </c>
      <c r="E93" s="192">
        <v>161</v>
      </c>
      <c r="F93" s="125">
        <f>ROUND(E93*Valores!$C$2,2)</f>
        <v>12493.07</v>
      </c>
      <c r="G93" s="192">
        <f>1480</f>
        <v>1480</v>
      </c>
      <c r="H93" s="125">
        <f>ROUND(G93*Valores!$C$2,2)</f>
        <v>114843.12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47949.96</v>
      </c>
      <c r="N93" s="125">
        <f t="shared" si="12"/>
        <v>0</v>
      </c>
      <c r="O93" s="125">
        <f>Valores!$C$9</f>
        <v>97503.47</v>
      </c>
      <c r="P93" s="125">
        <f>Valores!$D$5</f>
        <v>39667.43</v>
      </c>
      <c r="Q93" s="125">
        <f>Valores!$C$22</f>
        <v>35387.42</v>
      </c>
      <c r="R93" s="125">
        <f>IF($F$4="NO",Valores!$C$45,Valores!$C$45/2)</f>
        <v>27554.83</v>
      </c>
      <c r="S93" s="125">
        <f>Valores!$C$19</f>
        <v>36908.81</v>
      </c>
      <c r="T93" s="125">
        <f t="shared" si="19"/>
        <v>36908.81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Valores!$C$96</f>
        <v>54315.88</v>
      </c>
      <c r="AA93" s="125">
        <f>Valores!$C$25</f>
        <v>1622.32</v>
      </c>
      <c r="AB93" s="214">
        <v>0</v>
      </c>
      <c r="AC93" s="125">
        <f t="shared" si="13"/>
        <v>0</v>
      </c>
      <c r="AD93" s="125">
        <f>Valores!$C$26</f>
        <v>1622.32</v>
      </c>
      <c r="AE93" s="192">
        <v>19</v>
      </c>
      <c r="AF93" s="125">
        <f>ROUND(AE93*Valores!$C$2,2)</f>
        <v>1474.34</v>
      </c>
      <c r="AG93" s="125">
        <f>ROUND(IF($F$4="NO",Valores!$C$64,Valores!$C$64/2),2)</f>
        <v>18547.32</v>
      </c>
      <c r="AH93" s="125">
        <f>SUM(F93,H93,J93,L93,M93,N93,O93,P93,Q93,R93,T93,U93,V93,X93,Y93,Z93,AA93,AC93,AD93,AF93,AG93)*Valores!$C$104</f>
        <v>48989.02900000001</v>
      </c>
      <c r="AI93" s="125">
        <f t="shared" si="16"/>
        <v>538879.31900000002</v>
      </c>
      <c r="AJ93" s="125">
        <f>Valores!$C$31</f>
        <v>35000</v>
      </c>
      <c r="AK93" s="125">
        <v>0</v>
      </c>
      <c r="AL93" s="125">
        <f>Valores!$C$89</f>
        <v>0</v>
      </c>
      <c r="AM93" s="125">
        <f>Valores!C$39*B93</f>
        <v>0</v>
      </c>
      <c r="AN93" s="125">
        <f>IF($F$3="NO",0,Valores!$C$57)</f>
        <v>0</v>
      </c>
      <c r="AO93" s="125">
        <f t="shared" si="14"/>
        <v>35000</v>
      </c>
      <c r="AP93" s="125">
        <f>AI93*Valores!$C$72</f>
        <v>-59276.72509</v>
      </c>
      <c r="AQ93" s="125">
        <f>IF(AI93&lt;Valores!$E$73,-0.02,IF(AI93&lt;Valores!$F$73,-0.03,-0.04))*AI93</f>
        <v>-10777.586380000001</v>
      </c>
      <c r="AR93" s="125">
        <f>AI93*Valores!$C$75</f>
        <v>-29638.362545</v>
      </c>
      <c r="AS93" s="125">
        <f>Valores!$C$102</f>
        <v>-1270.1600000000001</v>
      </c>
      <c r="AT93" s="125">
        <f>IF($F$5=0,Valores!$C$103,(Valores!$C$103+$F$5*(Valores!$C$103)))</f>
        <v>-3700</v>
      </c>
      <c r="AU93" s="125">
        <f t="shared" si="17"/>
        <v>469216.48498499999</v>
      </c>
      <c r="AV93" s="125">
        <f t="shared" si="11"/>
        <v>-59276.72509</v>
      </c>
      <c r="AW93" s="125">
        <f t="shared" si="18"/>
        <v>-10777.586380000001</v>
      </c>
      <c r="AX93" s="125">
        <f>AI93*Valores!$C$76</f>
        <v>-14549.741613</v>
      </c>
      <c r="AY93" s="125">
        <f>AI93*Valores!$C$77</f>
        <v>-1616.6379570000001</v>
      </c>
      <c r="AZ93" s="125">
        <f t="shared" si="15"/>
        <v>487658.62796000001</v>
      </c>
      <c r="BA93" s="125">
        <f>AI93*Valores!$C$79</f>
        <v>86220.691040000005</v>
      </c>
      <c r="BB93" s="125">
        <f>AI93*Valores!$C$80</f>
        <v>37721.552330000006</v>
      </c>
      <c r="BC93" s="125">
        <f>AI93*Valores!$C$81</f>
        <v>5388.7931900000003</v>
      </c>
      <c r="BD93" s="125">
        <f>AI93*Valores!$C$83</f>
        <v>18860.776165000003</v>
      </c>
      <c r="BE93" s="125">
        <f>AI93*Valores!$C$85</f>
        <v>29099.483226</v>
      </c>
      <c r="BF93" s="125">
        <f>AI93*Valores!$C$84</f>
        <v>3233.2759140000003</v>
      </c>
      <c r="BG93" s="126"/>
      <c r="BH93" s="126">
        <v>25</v>
      </c>
      <c r="BI93" s="123" t="s">
        <v>4</v>
      </c>
    </row>
    <row r="94" spans="1:61" s="110" customFormat="1" ht="11.25" customHeight="1" x14ac:dyDescent="0.15">
      <c r="A94" s="123" t="s">
        <v>273</v>
      </c>
      <c r="B94" s="123">
        <v>1</v>
      </c>
      <c r="C94" s="126">
        <v>87</v>
      </c>
      <c r="D94" s="124" t="s">
        <v>274</v>
      </c>
      <c r="E94" s="192">
        <v>179</v>
      </c>
      <c r="F94" s="125">
        <f>ROUND(E94*Valores!$C$2,2)</f>
        <v>13889.81</v>
      </c>
      <c r="G94" s="192">
        <v>1712</v>
      </c>
      <c r="H94" s="125">
        <f>ROUND(G94*Valores!$C$2,2)</f>
        <v>132845.54999999999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52799.75</v>
      </c>
      <c r="N94" s="125">
        <f t="shared" si="12"/>
        <v>0</v>
      </c>
      <c r="O94" s="125">
        <f>Valores!$C$9</f>
        <v>97503.47</v>
      </c>
      <c r="P94" s="125">
        <f>Valores!$D$5</f>
        <v>39667.43</v>
      </c>
      <c r="Q94" s="125">
        <f>Valores!$C$22</f>
        <v>35387.42</v>
      </c>
      <c r="R94" s="125">
        <f>IF($F$4="NO",Valores!$C$45,Valores!$C$45/2)</f>
        <v>27554.83</v>
      </c>
      <c r="S94" s="125">
        <f>Valores!$C$19</f>
        <v>36908.81</v>
      </c>
      <c r="T94" s="125">
        <f t="shared" si="19"/>
        <v>36908.81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Valores!$C$96</f>
        <v>54315.88</v>
      </c>
      <c r="AA94" s="125">
        <f>Valores!$C$25</f>
        <v>1622.32</v>
      </c>
      <c r="AB94" s="214">
        <v>0</v>
      </c>
      <c r="AC94" s="125">
        <f t="shared" si="13"/>
        <v>0</v>
      </c>
      <c r="AD94" s="125">
        <f>Valores!$C$26</f>
        <v>1622.32</v>
      </c>
      <c r="AE94" s="192">
        <v>0</v>
      </c>
      <c r="AF94" s="125">
        <f>ROUND(AE94*Valores!$C$2,2)</f>
        <v>0</v>
      </c>
      <c r="AG94" s="125">
        <f>ROUND(IF($F$4="NO",Valores!$C$64,Valores!$C$64/2),2)</f>
        <v>18547.32</v>
      </c>
      <c r="AH94" s="125">
        <f>SUM(F94,H94,J94,L94,M94,N94,O94,P94,Q94,R94,T94,U94,V94,X94,Y94,Z94,AA94,AC94,AD94,AF94,AG94)*Valores!$C$104</f>
        <v>51266.491000000002</v>
      </c>
      <c r="AI94" s="125">
        <f t="shared" si="16"/>
        <v>563931.40099999995</v>
      </c>
      <c r="AJ94" s="125">
        <f>Valores!$C$31</f>
        <v>35000</v>
      </c>
      <c r="AK94" s="125">
        <v>0</v>
      </c>
      <c r="AL94" s="125">
        <f>Valores!$C$89</f>
        <v>0</v>
      </c>
      <c r="AM94" s="125">
        <f>Valores!C$39*B94</f>
        <v>0</v>
      </c>
      <c r="AN94" s="125">
        <f>IF($F$3="NO",0,Valores!$C$57)</f>
        <v>0</v>
      </c>
      <c r="AO94" s="125">
        <f t="shared" si="14"/>
        <v>35000</v>
      </c>
      <c r="AP94" s="125">
        <f>AI94*Valores!$C$72</f>
        <v>-62032.454109999999</v>
      </c>
      <c r="AQ94" s="125">
        <f>IF(AI94&lt;Valores!$E$73,-0.02,IF(AI94&lt;Valores!$F$73,-0.03,-0.04))*AI94</f>
        <v>-11278.62802</v>
      </c>
      <c r="AR94" s="125">
        <f>AI94*Valores!$C$75</f>
        <v>-31016.227054999999</v>
      </c>
      <c r="AS94" s="125">
        <f>Valores!$C$102</f>
        <v>-1270.1600000000001</v>
      </c>
      <c r="AT94" s="125">
        <f>IF($F$5=0,Valores!$C$103,(Valores!$C$103+$F$5*(Valores!$C$103)))</f>
        <v>-3700</v>
      </c>
      <c r="AU94" s="125">
        <f t="shared" si="17"/>
        <v>489633.93181499996</v>
      </c>
      <c r="AV94" s="125">
        <f t="shared" si="11"/>
        <v>-62032.454109999999</v>
      </c>
      <c r="AW94" s="125">
        <f t="shared" si="18"/>
        <v>-11278.62802</v>
      </c>
      <c r="AX94" s="125">
        <f>AI94*Valores!$C$76</f>
        <v>-15226.147826999999</v>
      </c>
      <c r="AY94" s="125">
        <f>AI94*Valores!$C$77</f>
        <v>-1691.7942029999999</v>
      </c>
      <c r="AZ94" s="125">
        <f t="shared" si="15"/>
        <v>508702.37683999998</v>
      </c>
      <c r="BA94" s="125">
        <f>AI94*Valores!$C$79</f>
        <v>90229.024160000001</v>
      </c>
      <c r="BB94" s="125">
        <f>AI94*Valores!$C$80</f>
        <v>39475.198069999999</v>
      </c>
      <c r="BC94" s="125">
        <f>AI94*Valores!$C$81</f>
        <v>5639.3140100000001</v>
      </c>
      <c r="BD94" s="125">
        <f>AI94*Valores!$C$83</f>
        <v>19737.599034999999</v>
      </c>
      <c r="BE94" s="125">
        <f>AI94*Valores!$C$85</f>
        <v>30452.295653999998</v>
      </c>
      <c r="BF94" s="125">
        <f>AI94*Valores!$C$84</f>
        <v>3383.5884059999998</v>
      </c>
      <c r="BG94" s="126"/>
      <c r="BH94" s="126">
        <v>25</v>
      </c>
      <c r="BI94" s="123" t="s">
        <v>4</v>
      </c>
    </row>
    <row r="95" spans="1:61" s="110" customFormat="1" ht="11.25" customHeight="1" x14ac:dyDescent="0.15">
      <c r="A95" s="123" t="s">
        <v>275</v>
      </c>
      <c r="B95" s="123">
        <v>1</v>
      </c>
      <c r="C95" s="126">
        <v>88</v>
      </c>
      <c r="D95" s="124" t="s">
        <v>276</v>
      </c>
      <c r="E95" s="192">
        <v>64</v>
      </c>
      <c r="F95" s="125">
        <f>ROUND(E95*Valores!$C$2,2)</f>
        <v>4966.1899999999996</v>
      </c>
      <c r="G95" s="192">
        <v>2086</v>
      </c>
      <c r="H95" s="125">
        <f>ROUND(G95*Valores!$C$2,2)</f>
        <v>161866.72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58209.26</v>
      </c>
      <c r="N95" s="125">
        <f t="shared" si="12"/>
        <v>0</v>
      </c>
      <c r="O95" s="125">
        <f>Valores!$C$9</f>
        <v>97503.47</v>
      </c>
      <c r="P95" s="125">
        <f>Valores!$D$5</f>
        <v>39667.43</v>
      </c>
      <c r="Q95" s="125">
        <f>Valores!$C$22</f>
        <v>35387.42</v>
      </c>
      <c r="R95" s="125">
        <f>IF($F$4="NO",Valores!$C$46,Valores!$C$46/2)</f>
        <v>29095.32</v>
      </c>
      <c r="S95" s="125">
        <f>Valores!$C$19</f>
        <v>36908.81</v>
      </c>
      <c r="T95" s="125">
        <f t="shared" si="19"/>
        <v>36908.81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Valores!$C$97</f>
        <v>65179.040000000001</v>
      </c>
      <c r="AA95" s="125">
        <f>Valores!$C$25</f>
        <v>1622.32</v>
      </c>
      <c r="AB95" s="214">
        <v>0</v>
      </c>
      <c r="AC95" s="125">
        <f t="shared" si="13"/>
        <v>0</v>
      </c>
      <c r="AD95" s="125">
        <f>Valores!$C$26</f>
        <v>1622.32</v>
      </c>
      <c r="AE95" s="192">
        <v>0</v>
      </c>
      <c r="AF95" s="125">
        <f>ROUND(AE95*Valores!$C$2,2)</f>
        <v>0</v>
      </c>
      <c r="AG95" s="125">
        <f>ROUND(IF($F$4="NO",Valores!$C$64,Valores!$C$64/2),2)</f>
        <v>18547.32</v>
      </c>
      <c r="AH95" s="125">
        <f>SUM(F95,H95,J95,L95,M95,N95,O95,P95,Q95,R95,T95,U95,V95,X95,Y95,Z95,AA95,AC95,AD95,AF95,AG95)*Valores!$C$104</f>
        <v>55057.561999999991</v>
      </c>
      <c r="AI95" s="125">
        <f t="shared" si="16"/>
        <v>605633.18199999991</v>
      </c>
      <c r="AJ95" s="125">
        <f>Valores!$C$31</f>
        <v>35000</v>
      </c>
      <c r="AK95" s="125">
        <v>0</v>
      </c>
      <c r="AL95" s="125">
        <f>Valores!$C$90</f>
        <v>0</v>
      </c>
      <c r="AM95" s="125">
        <f>Valores!C$39*B95</f>
        <v>0</v>
      </c>
      <c r="AN95" s="125">
        <f>IF($F$3="NO",0,Valores!$C$57)</f>
        <v>0</v>
      </c>
      <c r="AO95" s="125">
        <f t="shared" si="14"/>
        <v>35000</v>
      </c>
      <c r="AP95" s="125">
        <f>AI95*Valores!$C$72</f>
        <v>-66619.650019999986</v>
      </c>
      <c r="AQ95" s="125">
        <f>IF(AI95&lt;Valores!$E$73,-0.02,IF(AI95&lt;Valores!$F$73,-0.03,-0.04))*AI95</f>
        <v>-12112.663639999999</v>
      </c>
      <c r="AR95" s="125">
        <f>AI95*Valores!$C$75</f>
        <v>-33309.825009999993</v>
      </c>
      <c r="AS95" s="125">
        <f>Valores!$C$102</f>
        <v>-1270.1600000000001</v>
      </c>
      <c r="AT95" s="125">
        <f>IF($F$5=0,Valores!$C$103,(Valores!$C$103+$F$5*(Valores!$C$103)))</f>
        <v>-3700</v>
      </c>
      <c r="AU95" s="125">
        <f t="shared" si="17"/>
        <v>523620.88332999992</v>
      </c>
      <c r="AV95" s="125">
        <f t="shared" si="11"/>
        <v>-66619.650019999986</v>
      </c>
      <c r="AW95" s="125">
        <f t="shared" si="18"/>
        <v>-12112.663639999999</v>
      </c>
      <c r="AX95" s="125">
        <f>AI95*Valores!$C$76</f>
        <v>-16352.095913999998</v>
      </c>
      <c r="AY95" s="125">
        <f>AI95*Valores!$C$77</f>
        <v>-1816.8995459999999</v>
      </c>
      <c r="AZ95" s="125">
        <f t="shared" si="15"/>
        <v>543731.87287999992</v>
      </c>
      <c r="BA95" s="125">
        <f>AI95*Valores!$C$79</f>
        <v>96901.309119999991</v>
      </c>
      <c r="BB95" s="125">
        <f>AI95*Valores!$C$80</f>
        <v>42394.322739999996</v>
      </c>
      <c r="BC95" s="125">
        <f>AI95*Valores!$C$81</f>
        <v>6056.3318199999994</v>
      </c>
      <c r="BD95" s="125">
        <f>AI95*Valores!$C$83</f>
        <v>21197.161369999998</v>
      </c>
      <c r="BE95" s="125">
        <f>AI95*Valores!$C$85</f>
        <v>32704.191827999995</v>
      </c>
      <c r="BF95" s="125">
        <f>AI95*Valores!$C$84</f>
        <v>3633.7990919999997</v>
      </c>
      <c r="BG95" s="126"/>
      <c r="BH95" s="126">
        <v>25</v>
      </c>
      <c r="BI95" s="123" t="s">
        <v>4</v>
      </c>
    </row>
    <row r="96" spans="1:61" s="110" customFormat="1" ht="11.25" customHeight="1" x14ac:dyDescent="0.15">
      <c r="A96" s="123" t="s">
        <v>277</v>
      </c>
      <c r="B96" s="123">
        <v>1</v>
      </c>
      <c r="C96" s="126">
        <v>89</v>
      </c>
      <c r="D96" s="124" t="s">
        <v>278</v>
      </c>
      <c r="E96" s="192">
        <v>89</v>
      </c>
      <c r="F96" s="125">
        <f>ROUND(E96*Valores!$C$2,2)</f>
        <v>6906.11</v>
      </c>
      <c r="G96" s="192">
        <v>2481</v>
      </c>
      <c r="H96" s="125">
        <f>ROUND(G96*Valores!$C$2,2)</f>
        <v>192517.41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65971.789999999994</v>
      </c>
      <c r="N96" s="125">
        <f t="shared" si="12"/>
        <v>0</v>
      </c>
      <c r="O96" s="125">
        <f>Valores!$C$8</f>
        <v>97252.17</v>
      </c>
      <c r="P96" s="125">
        <f>Valores!$D$5</f>
        <v>39667.43</v>
      </c>
      <c r="Q96" s="125">
        <v>0</v>
      </c>
      <c r="R96" s="125">
        <f>IF($F$4="NO",Valores!$C$45,Valores!$C$45/2)</f>
        <v>27554.83</v>
      </c>
      <c r="S96" s="125">
        <f>Valores!$C$19</f>
        <v>36908.81</v>
      </c>
      <c r="T96" s="125">
        <f t="shared" si="19"/>
        <v>36908.81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Valores!$C$96</f>
        <v>54315.88</v>
      </c>
      <c r="AA96" s="125">
        <f>Valores!$C$25</f>
        <v>1622.32</v>
      </c>
      <c r="AB96" s="214">
        <v>0</v>
      </c>
      <c r="AC96" s="125">
        <f t="shared" si="13"/>
        <v>0</v>
      </c>
      <c r="AD96" s="125">
        <f>Valores!$C$26</f>
        <v>1622.32</v>
      </c>
      <c r="AE96" s="192">
        <v>0</v>
      </c>
      <c r="AF96" s="125">
        <f>ROUND(AE96*Valores!$C$2,2)</f>
        <v>0</v>
      </c>
      <c r="AG96" s="125">
        <f>ROUND(IF($F$4="NO",Valores!$C$64,Valores!$C$64/2),2)</f>
        <v>18547.32</v>
      </c>
      <c r="AH96" s="125">
        <f>SUM(F96,H96,J96,L96,M96,N96,O96,P96,Q96,R96,T96,U96,V96,X96,Y96,Z96,AA96,AC96,AD96,AF96,AG96)*Valores!$C$104</f>
        <v>54288.638999999996</v>
      </c>
      <c r="AI96" s="125">
        <f t="shared" si="16"/>
        <v>597175.02899999986</v>
      </c>
      <c r="AJ96" s="125">
        <f>Valores!$C$31</f>
        <v>35000</v>
      </c>
      <c r="AK96" s="125">
        <v>0</v>
      </c>
      <c r="AL96" s="125">
        <f>Valores!$C$89</f>
        <v>0</v>
      </c>
      <c r="AM96" s="125">
        <f>Valores!C$39*B96</f>
        <v>0</v>
      </c>
      <c r="AN96" s="125">
        <f>IF($F$3="NO",0,Valores!$C$57)</f>
        <v>0</v>
      </c>
      <c r="AO96" s="125">
        <f t="shared" si="14"/>
        <v>35000</v>
      </c>
      <c r="AP96" s="125">
        <f>AI96*Valores!$C$72</f>
        <v>-65689.253189999989</v>
      </c>
      <c r="AQ96" s="125">
        <f>IF(AI96&lt;Valores!$E$73,-0.02,IF(AI96&lt;Valores!$F$73,-0.03,-0.04))*AI96</f>
        <v>-11943.500579999998</v>
      </c>
      <c r="AR96" s="125">
        <f>AI96*Valores!$C$75</f>
        <v>-32844.626594999994</v>
      </c>
      <c r="AS96" s="125">
        <f>Valores!$C$102</f>
        <v>-1270.1600000000001</v>
      </c>
      <c r="AT96" s="125">
        <f>IF($F$5=0,Valores!$C$103,(Valores!$C$103+$F$5*(Valores!$C$103)))</f>
        <v>-3700</v>
      </c>
      <c r="AU96" s="125">
        <f t="shared" si="17"/>
        <v>516727.48863499984</v>
      </c>
      <c r="AV96" s="125">
        <f t="shared" si="11"/>
        <v>-65689.253189999989</v>
      </c>
      <c r="AW96" s="125">
        <f t="shared" si="18"/>
        <v>-11943.500579999998</v>
      </c>
      <c r="AX96" s="125">
        <f>AI96*Valores!$C$76</f>
        <v>-16123.725782999996</v>
      </c>
      <c r="AY96" s="125">
        <f>AI96*Valores!$C$77</f>
        <v>-1791.5250869999995</v>
      </c>
      <c r="AZ96" s="125">
        <f t="shared" si="15"/>
        <v>536627.02435999992</v>
      </c>
      <c r="BA96" s="125">
        <f>AI96*Valores!$C$79</f>
        <v>95548.004639999985</v>
      </c>
      <c r="BB96" s="125">
        <f>AI96*Valores!$C$80</f>
        <v>41802.252029999996</v>
      </c>
      <c r="BC96" s="125">
        <f>AI96*Valores!$C$81</f>
        <v>5971.750289999999</v>
      </c>
      <c r="BD96" s="125">
        <f>AI96*Valores!$C$83</f>
        <v>20901.126014999998</v>
      </c>
      <c r="BE96" s="125">
        <f>AI96*Valores!$C$85</f>
        <v>32247.451565999992</v>
      </c>
      <c r="BF96" s="125">
        <f>AI96*Valores!$C$84</f>
        <v>3583.0501739999991</v>
      </c>
      <c r="BG96" s="126"/>
      <c r="BH96" s="126">
        <v>25</v>
      </c>
      <c r="BI96" s="123" t="s">
        <v>8</v>
      </c>
    </row>
    <row r="97" spans="1:61" s="110" customFormat="1" ht="11.25" customHeight="1" x14ac:dyDescent="0.15">
      <c r="A97" s="123" t="s">
        <v>279</v>
      </c>
      <c r="B97" s="123">
        <v>1</v>
      </c>
      <c r="C97" s="126">
        <v>90</v>
      </c>
      <c r="D97" s="124" t="s">
        <v>280</v>
      </c>
      <c r="E97" s="192">
        <v>89</v>
      </c>
      <c r="F97" s="125">
        <f>ROUND(E97*Valores!$C$2,2)</f>
        <v>6906.11</v>
      </c>
      <c r="G97" s="192">
        <v>2381</v>
      </c>
      <c r="H97" s="125">
        <f>ROUND(G97*Valores!$C$2,2)</f>
        <v>184757.74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64031.87</v>
      </c>
      <c r="N97" s="125">
        <f t="shared" si="12"/>
        <v>0</v>
      </c>
      <c r="O97" s="125">
        <f>Valores!$C$16</f>
        <v>67049.36</v>
      </c>
      <c r="P97" s="125">
        <f>Valores!$D$5</f>
        <v>39667.43</v>
      </c>
      <c r="Q97" s="125">
        <f>Valores!$C$22</f>
        <v>35387.42</v>
      </c>
      <c r="R97" s="125">
        <f>IF($F$4="NO",Valores!$C$45,Valores!$C$45/2)</f>
        <v>27554.83</v>
      </c>
      <c r="S97" s="125">
        <f>Valores!$C$19</f>
        <v>36908.81</v>
      </c>
      <c r="T97" s="125">
        <f t="shared" si="19"/>
        <v>36908.81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Valores!$C$96</f>
        <v>54315.88</v>
      </c>
      <c r="AA97" s="125">
        <f>Valores!$C$25</f>
        <v>1622.32</v>
      </c>
      <c r="AB97" s="214">
        <v>0</v>
      </c>
      <c r="AC97" s="125">
        <f t="shared" si="13"/>
        <v>0</v>
      </c>
      <c r="AD97" s="125">
        <f>Valores!$C$26</f>
        <v>1622.32</v>
      </c>
      <c r="AE97" s="192">
        <v>0</v>
      </c>
      <c r="AF97" s="125">
        <f>ROUND(AE97*Valores!$C$2,2)</f>
        <v>0</v>
      </c>
      <c r="AG97" s="125">
        <f>ROUND(IF($F$4="NO",Valores!$C$64,Valores!$C$64/2),2)</f>
        <v>18547.32</v>
      </c>
      <c r="AH97" s="125">
        <f>SUM(F97,H97,J97,L97,M97,N97,O97,P97,Q97,R97,T97,U97,V97,X97,Y97,Z97,AA97,AC97,AD97,AF97,AG97)*Valores!$C$104</f>
        <v>53837.140999999996</v>
      </c>
      <c r="AI97" s="125">
        <f t="shared" si="16"/>
        <v>592208.55099999986</v>
      </c>
      <c r="AJ97" s="125">
        <f>Valores!$C$31</f>
        <v>35000</v>
      </c>
      <c r="AK97" s="125">
        <v>0</v>
      </c>
      <c r="AL97" s="125">
        <f>Valores!$C$89</f>
        <v>0</v>
      </c>
      <c r="AM97" s="125">
        <f>Valores!C$39*B97</f>
        <v>0</v>
      </c>
      <c r="AN97" s="125">
        <f>IF($F$3="NO",0,Valores!$C$57)</f>
        <v>0</v>
      </c>
      <c r="AO97" s="125">
        <f t="shared" si="14"/>
        <v>35000</v>
      </c>
      <c r="AP97" s="125">
        <f>AI97*Valores!$C$72</f>
        <v>-65142.940609999983</v>
      </c>
      <c r="AQ97" s="125">
        <f>IF(AI97&lt;Valores!$E$73,-0.02,IF(AI97&lt;Valores!$F$73,-0.03,-0.04))*AI97</f>
        <v>-11844.171019999998</v>
      </c>
      <c r="AR97" s="125">
        <f>AI97*Valores!$C$75</f>
        <v>-32571.470304999992</v>
      </c>
      <c r="AS97" s="125">
        <f>Valores!$C$102</f>
        <v>-1270.1600000000001</v>
      </c>
      <c r="AT97" s="125">
        <f>IF($F$5=0,Valores!$C$103,(Valores!$C$103+$F$5*(Valores!$C$103)))</f>
        <v>-3700</v>
      </c>
      <c r="AU97" s="125">
        <f t="shared" si="17"/>
        <v>512679.80906499986</v>
      </c>
      <c r="AV97" s="125">
        <f t="shared" si="11"/>
        <v>-65142.940609999983</v>
      </c>
      <c r="AW97" s="125">
        <f t="shared" si="18"/>
        <v>-11844.171019999998</v>
      </c>
      <c r="AX97" s="125">
        <f>AI97*Valores!$C$76</f>
        <v>-15989.630876999996</v>
      </c>
      <c r="AY97" s="125">
        <f>AI97*Valores!$C$77</f>
        <v>-1776.6256529999996</v>
      </c>
      <c r="AZ97" s="125">
        <f t="shared" si="15"/>
        <v>532455.18283999991</v>
      </c>
      <c r="BA97" s="125">
        <f>AI97*Valores!$C$79</f>
        <v>94753.368159999984</v>
      </c>
      <c r="BB97" s="125">
        <f>AI97*Valores!$C$80</f>
        <v>41454.598569999995</v>
      </c>
      <c r="BC97" s="125">
        <f>AI97*Valores!$C$81</f>
        <v>5922.085509999999</v>
      </c>
      <c r="BD97" s="125">
        <f>AI97*Valores!$C$83</f>
        <v>20727.299284999997</v>
      </c>
      <c r="BE97" s="125">
        <f>AI97*Valores!$C$85</f>
        <v>31979.261753999992</v>
      </c>
      <c r="BF97" s="125">
        <f>AI97*Valores!$C$84</f>
        <v>3553.2513059999992</v>
      </c>
      <c r="BG97" s="126"/>
      <c r="BH97" s="126">
        <v>25</v>
      </c>
      <c r="BI97" s="123" t="s">
        <v>4</v>
      </c>
    </row>
    <row r="98" spans="1:61" s="110" customFormat="1" ht="11.25" customHeight="1" x14ac:dyDescent="0.15">
      <c r="A98" s="123" t="s">
        <v>281</v>
      </c>
      <c r="B98" s="123">
        <v>1</v>
      </c>
      <c r="C98" s="126">
        <v>91</v>
      </c>
      <c r="D98" s="124" t="s">
        <v>282</v>
      </c>
      <c r="E98" s="192">
        <v>89</v>
      </c>
      <c r="F98" s="125">
        <f>ROUND(E98*Valores!$C$2,2)</f>
        <v>6906.11</v>
      </c>
      <c r="G98" s="192">
        <v>1768</v>
      </c>
      <c r="H98" s="125">
        <f>ROUND(G98*Valores!$C$2,2)</f>
        <v>137190.97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52140.18</v>
      </c>
      <c r="N98" s="125">
        <f t="shared" si="12"/>
        <v>0</v>
      </c>
      <c r="O98" s="125">
        <f>Valores!$C$16</f>
        <v>67049.36</v>
      </c>
      <c r="P98" s="125">
        <f>Valores!$D$5</f>
        <v>39667.43</v>
      </c>
      <c r="Q98" s="125">
        <f>Valores!$C$22</f>
        <v>35387.42</v>
      </c>
      <c r="R98" s="125">
        <f>IF($F$4="NO",Valores!$C$45,Valores!$C$45/2)</f>
        <v>27554.83</v>
      </c>
      <c r="S98" s="125">
        <f>Valores!$C$19</f>
        <v>36908.81</v>
      </c>
      <c r="T98" s="125">
        <f t="shared" si="19"/>
        <v>36908.81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Valores!$C$96</f>
        <v>54315.88</v>
      </c>
      <c r="AA98" s="125">
        <f>Valores!$C$25</f>
        <v>1622.32</v>
      </c>
      <c r="AB98" s="214">
        <v>0</v>
      </c>
      <c r="AC98" s="125">
        <f t="shared" si="13"/>
        <v>0</v>
      </c>
      <c r="AD98" s="125">
        <f>Valores!$C$26</f>
        <v>1622.32</v>
      </c>
      <c r="AE98" s="192">
        <v>0</v>
      </c>
      <c r="AF98" s="125">
        <f>ROUND(AE98*Valores!$C$2,2)</f>
        <v>0</v>
      </c>
      <c r="AG98" s="125">
        <f>ROUND(IF($F$4="NO",Valores!$C$64,Valores!$C$64/2),2)</f>
        <v>18547.32</v>
      </c>
      <c r="AH98" s="125">
        <f>SUM(F98,H98,J98,L98,M98,N98,O98,P98,Q98,R98,T98,U98,V98,X98,Y98,Z98,AA98,AC98,AD98,AF98,AG98)*Valores!$C$104</f>
        <v>47891.295000000006</v>
      </c>
      <c r="AI98" s="125">
        <f t="shared" si="16"/>
        <v>526804.245</v>
      </c>
      <c r="AJ98" s="125">
        <f>Valores!$C$31</f>
        <v>35000</v>
      </c>
      <c r="AK98" s="125">
        <v>0</v>
      </c>
      <c r="AL98" s="125">
        <f>Valores!$C$89</f>
        <v>0</v>
      </c>
      <c r="AM98" s="125">
        <f>Valores!C$39*B98</f>
        <v>0</v>
      </c>
      <c r="AN98" s="125">
        <f>IF($F$3="NO",0,Valores!$C$57)</f>
        <v>0</v>
      </c>
      <c r="AO98" s="125">
        <f t="shared" si="14"/>
        <v>35000</v>
      </c>
      <c r="AP98" s="125">
        <f>AI98*Valores!$C$72</f>
        <v>-57948.466950000002</v>
      </c>
      <c r="AQ98" s="125">
        <f>IF(AI98&lt;Valores!$E$73,-0.02,IF(AI98&lt;Valores!$F$73,-0.03,-0.04))*AI98</f>
        <v>-10536.0849</v>
      </c>
      <c r="AR98" s="125">
        <f>AI98*Valores!$C$75</f>
        <v>-28974.233475000001</v>
      </c>
      <c r="AS98" s="125">
        <f>Valores!$C$102</f>
        <v>-1270.1600000000001</v>
      </c>
      <c r="AT98" s="125">
        <f>IF($F$5=0,Valores!$C$103,(Valores!$C$103+$F$5*(Valores!$C$103)))</f>
        <v>-3700</v>
      </c>
      <c r="AU98" s="125">
        <f t="shared" si="17"/>
        <v>459375.29967500002</v>
      </c>
      <c r="AV98" s="125">
        <f t="shared" si="11"/>
        <v>-57948.466950000002</v>
      </c>
      <c r="AW98" s="125">
        <f t="shared" si="18"/>
        <v>-10536.0849</v>
      </c>
      <c r="AX98" s="125">
        <f>AI98*Valores!$C$76</f>
        <v>-14223.714614999999</v>
      </c>
      <c r="AY98" s="125">
        <f>AI98*Valores!$C$77</f>
        <v>-1580.4127350000001</v>
      </c>
      <c r="AZ98" s="125">
        <f t="shared" si="15"/>
        <v>477515.56579999998</v>
      </c>
      <c r="BA98" s="125">
        <f>AI98*Valores!$C$79</f>
        <v>84288.679199999999</v>
      </c>
      <c r="BB98" s="125">
        <f>AI98*Valores!$C$80</f>
        <v>36876.297150000006</v>
      </c>
      <c r="BC98" s="125">
        <f>AI98*Valores!$C$81</f>
        <v>5268.0424499999999</v>
      </c>
      <c r="BD98" s="125">
        <f>AI98*Valores!$C$83</f>
        <v>18438.148575000003</v>
      </c>
      <c r="BE98" s="125">
        <f>AI98*Valores!$C$85</f>
        <v>28447.429229999998</v>
      </c>
      <c r="BF98" s="125">
        <f>AI98*Valores!$C$84</f>
        <v>3160.8254700000002</v>
      </c>
      <c r="BG98" s="126"/>
      <c r="BH98" s="126">
        <v>25</v>
      </c>
      <c r="BI98" s="123" t="s">
        <v>4</v>
      </c>
    </row>
    <row r="99" spans="1:61" s="110" customFormat="1" ht="11.25" customHeight="1" x14ac:dyDescent="0.15">
      <c r="A99" s="123" t="s">
        <v>283</v>
      </c>
      <c r="B99" s="123">
        <v>1</v>
      </c>
      <c r="C99" s="126">
        <v>92</v>
      </c>
      <c r="D99" s="124" t="s">
        <v>284</v>
      </c>
      <c r="E99" s="192">
        <v>89</v>
      </c>
      <c r="F99" s="125">
        <f>ROUND(E99*Valores!$C$2,2)</f>
        <v>6906.11</v>
      </c>
      <c r="G99" s="192">
        <v>1768</v>
      </c>
      <c r="H99" s="125">
        <f>ROUND(G99*Valores!$C$2,2)</f>
        <v>137190.97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52140.18</v>
      </c>
      <c r="N99" s="125">
        <f t="shared" si="12"/>
        <v>0</v>
      </c>
      <c r="O99" s="125">
        <f>Valores!$C$8</f>
        <v>97252.17</v>
      </c>
      <c r="P99" s="125">
        <f>Valores!$D$5</f>
        <v>39667.43</v>
      </c>
      <c r="Q99" s="125">
        <f>Valores!$C$22</f>
        <v>35387.42</v>
      </c>
      <c r="R99" s="125">
        <f>IF($F$4="NO",Valores!$C$45,Valores!$C$45/2)</f>
        <v>27554.83</v>
      </c>
      <c r="S99" s="125">
        <f>Valores!$C$19</f>
        <v>36908.81</v>
      </c>
      <c r="T99" s="125">
        <f t="shared" si="19"/>
        <v>36908.81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Valores!$C$96</f>
        <v>54315.88</v>
      </c>
      <c r="AA99" s="125">
        <f>Valores!$C$25</f>
        <v>1622.32</v>
      </c>
      <c r="AB99" s="214">
        <v>0</v>
      </c>
      <c r="AC99" s="125">
        <f t="shared" si="13"/>
        <v>0</v>
      </c>
      <c r="AD99" s="125">
        <f>Valores!$C$26</f>
        <v>1622.32</v>
      </c>
      <c r="AE99" s="192">
        <v>0</v>
      </c>
      <c r="AF99" s="125">
        <f>ROUND(AE99*Valores!$C$2,2)</f>
        <v>0</v>
      </c>
      <c r="AG99" s="125">
        <f>ROUND(IF($F$4="NO",Valores!$C$64,Valores!$C$64/2),2)</f>
        <v>18547.32</v>
      </c>
      <c r="AH99" s="125">
        <f>SUM(F99,H99,J99,L99,M99,N99,O99,P99,Q99,R99,T99,U99,V99,X99,Y99,Z99,AA99,AC99,AD99,AF99,AG99)*Valores!$C$104</f>
        <v>50911.576000000001</v>
      </c>
      <c r="AI99" s="125">
        <f t="shared" si="16"/>
        <v>560027.33600000001</v>
      </c>
      <c r="AJ99" s="125">
        <f>Valores!$C$31</f>
        <v>35000</v>
      </c>
      <c r="AK99" s="125">
        <v>0</v>
      </c>
      <c r="AL99" s="125">
        <f>Valores!$C$89</f>
        <v>0</v>
      </c>
      <c r="AM99" s="125">
        <f>Valores!C$39*B99</f>
        <v>0</v>
      </c>
      <c r="AN99" s="125">
        <f>IF($F$3="NO",0,Valores!$C$57)</f>
        <v>0</v>
      </c>
      <c r="AO99" s="125">
        <f t="shared" si="14"/>
        <v>35000</v>
      </c>
      <c r="AP99" s="125">
        <f>AI99*Valores!$C$72</f>
        <v>-61603.006959999999</v>
      </c>
      <c r="AQ99" s="125">
        <f>IF(AI99&lt;Valores!$E$73,-0.02,IF(AI99&lt;Valores!$F$73,-0.03,-0.04))*AI99</f>
        <v>-11200.54672</v>
      </c>
      <c r="AR99" s="125">
        <f>AI99*Valores!$C$75</f>
        <v>-30801.503479999999</v>
      </c>
      <c r="AS99" s="125">
        <f>Valores!$C$102</f>
        <v>-1270.1600000000001</v>
      </c>
      <c r="AT99" s="125">
        <f>IF($F$5=0,Valores!$C$103,(Valores!$C$103+$F$5*(Valores!$C$103)))</f>
        <v>-3700</v>
      </c>
      <c r="AU99" s="125">
        <f t="shared" si="17"/>
        <v>486452.11884000001</v>
      </c>
      <c r="AV99" s="125">
        <f t="shared" si="11"/>
        <v>-61603.006959999999</v>
      </c>
      <c r="AW99" s="125">
        <f t="shared" si="18"/>
        <v>-11200.54672</v>
      </c>
      <c r="AX99" s="125">
        <f>AI99*Valores!$C$76</f>
        <v>-15120.738072</v>
      </c>
      <c r="AY99" s="125">
        <f>AI99*Valores!$C$77</f>
        <v>-1680.0820080000001</v>
      </c>
      <c r="AZ99" s="125">
        <f t="shared" si="15"/>
        <v>505422.96224000002</v>
      </c>
      <c r="BA99" s="125">
        <f>AI99*Valores!$C$79</f>
        <v>89604.373760000002</v>
      </c>
      <c r="BB99" s="125">
        <f>AI99*Valores!$C$80</f>
        <v>39201.913520000002</v>
      </c>
      <c r="BC99" s="125">
        <f>AI99*Valores!$C$81</f>
        <v>5600.2733600000001</v>
      </c>
      <c r="BD99" s="125">
        <f>AI99*Valores!$C$83</f>
        <v>19600.956760000001</v>
      </c>
      <c r="BE99" s="125">
        <f>AI99*Valores!$C$85</f>
        <v>30241.476144</v>
      </c>
      <c r="BF99" s="125">
        <f>AI99*Valores!$C$84</f>
        <v>3360.1640160000002</v>
      </c>
      <c r="BG99" s="126"/>
      <c r="BH99" s="126"/>
      <c r="BI99" s="123" t="s">
        <v>4</v>
      </c>
    </row>
    <row r="100" spans="1:61" s="110" customFormat="1" ht="11.25" customHeight="1" x14ac:dyDescent="0.15">
      <c r="A100" s="123" t="s">
        <v>285</v>
      </c>
      <c r="B100" s="123">
        <v>1</v>
      </c>
      <c r="C100" s="126">
        <v>93</v>
      </c>
      <c r="D100" s="124" t="s">
        <v>286</v>
      </c>
      <c r="E100" s="192">
        <v>89</v>
      </c>
      <c r="F100" s="125">
        <f>ROUND(E100*Valores!$C$2,2)</f>
        <v>6906.11</v>
      </c>
      <c r="G100" s="192">
        <v>2211</v>
      </c>
      <c r="H100" s="125">
        <f>ROUND(G100*Valores!$C$2,2)</f>
        <v>171566.3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60734.01</v>
      </c>
      <c r="N100" s="125">
        <f t="shared" si="12"/>
        <v>0</v>
      </c>
      <c r="O100" s="125">
        <f>Valores!$C$8</f>
        <v>97252.17</v>
      </c>
      <c r="P100" s="125">
        <f>Valores!$D$5</f>
        <v>39667.43</v>
      </c>
      <c r="Q100" s="125">
        <f>Valores!$C$22</f>
        <v>35387.42</v>
      </c>
      <c r="R100" s="125">
        <f>IF($F$4="NO",Valores!$C$45,Valores!$C$45/2)</f>
        <v>27554.83</v>
      </c>
      <c r="S100" s="125">
        <f>Valores!$C$19</f>
        <v>36908.81</v>
      </c>
      <c r="T100" s="125">
        <f t="shared" si="19"/>
        <v>36908.81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Valores!$C$96</f>
        <v>54315.88</v>
      </c>
      <c r="AA100" s="125">
        <f>Valores!$C$25</f>
        <v>1622.32</v>
      </c>
      <c r="AB100" s="214">
        <v>0</v>
      </c>
      <c r="AC100" s="125">
        <f t="shared" si="13"/>
        <v>0</v>
      </c>
      <c r="AD100" s="125">
        <f>Valores!$C$26</f>
        <v>1622.32</v>
      </c>
      <c r="AE100" s="192">
        <v>0</v>
      </c>
      <c r="AF100" s="125">
        <f>ROUND(AE100*Valores!$C$2,2)</f>
        <v>0</v>
      </c>
      <c r="AG100" s="125">
        <f>ROUND(IF($F$4="NO",Valores!$C$64,Valores!$C$64/2),2)</f>
        <v>18547.32</v>
      </c>
      <c r="AH100" s="125">
        <f>SUM(F100,H100,J100,L100,M100,N100,O100,P100,Q100,R100,T100,U100,V100,X100,Y100,Z100,AA100,AC100,AD100,AF100,AG100)*Valores!$C$104</f>
        <v>55208.491999999984</v>
      </c>
      <c r="AI100" s="125">
        <f t="shared" si="16"/>
        <v>607293.41199999978</v>
      </c>
      <c r="AJ100" s="125">
        <f>Valores!$C$31</f>
        <v>35000</v>
      </c>
      <c r="AK100" s="125">
        <v>0</v>
      </c>
      <c r="AL100" s="125">
        <f>Valores!$C$89</f>
        <v>0</v>
      </c>
      <c r="AM100" s="125">
        <f>Valores!C$39*B100</f>
        <v>0</v>
      </c>
      <c r="AN100" s="125">
        <f>IF($F$3="NO",0,Valores!$C$57)</f>
        <v>0</v>
      </c>
      <c r="AO100" s="125">
        <f t="shared" si="14"/>
        <v>35000</v>
      </c>
      <c r="AP100" s="125">
        <f>AI100*Valores!$C$72</f>
        <v>-66802.275319999972</v>
      </c>
      <c r="AQ100" s="125">
        <f>IF(AI100&lt;Valores!$E$73,-0.02,IF(AI100&lt;Valores!$F$73,-0.03,-0.04))*AI100</f>
        <v>-12145.868239999996</v>
      </c>
      <c r="AR100" s="125">
        <f>AI100*Valores!$C$75</f>
        <v>-33401.137659999986</v>
      </c>
      <c r="AS100" s="125">
        <f>Valores!$C$102</f>
        <v>-1270.1600000000001</v>
      </c>
      <c r="AT100" s="125">
        <f>IF($F$5=0,Valores!$C$103,(Valores!$C$103+$F$5*(Valores!$C$103)))</f>
        <v>-3700</v>
      </c>
      <c r="AU100" s="125">
        <f t="shared" si="17"/>
        <v>524973.97077999986</v>
      </c>
      <c r="AV100" s="125">
        <f t="shared" si="11"/>
        <v>-66802.275319999972</v>
      </c>
      <c r="AW100" s="125">
        <f t="shared" si="18"/>
        <v>-12145.868239999996</v>
      </c>
      <c r="AX100" s="125">
        <f>AI100*Valores!$C$76</f>
        <v>-16396.922123999993</v>
      </c>
      <c r="AY100" s="125">
        <f>AI100*Valores!$C$77</f>
        <v>-1821.8802359999993</v>
      </c>
      <c r="AZ100" s="125">
        <f t="shared" si="15"/>
        <v>545126.46607999981</v>
      </c>
      <c r="BA100" s="125">
        <f>AI100*Valores!$C$79</f>
        <v>97166.945919999969</v>
      </c>
      <c r="BB100" s="125">
        <f>AI100*Valores!$C$80</f>
        <v>42510.538839999987</v>
      </c>
      <c r="BC100" s="125">
        <f>AI100*Valores!$C$81</f>
        <v>6072.9341199999981</v>
      </c>
      <c r="BD100" s="125">
        <f>AI100*Valores!$C$83</f>
        <v>21255.269419999993</v>
      </c>
      <c r="BE100" s="125">
        <f>AI100*Valores!$C$85</f>
        <v>32793.844247999987</v>
      </c>
      <c r="BF100" s="125">
        <f>AI100*Valores!$C$84</f>
        <v>3643.7604719999986</v>
      </c>
      <c r="BG100" s="126"/>
      <c r="BH100" s="126"/>
      <c r="BI100" s="123" t="s">
        <v>4</v>
      </c>
    </row>
    <row r="101" spans="1:61" s="110" customFormat="1" ht="11.25" customHeight="1" x14ac:dyDescent="0.15">
      <c r="A101" s="123" t="s">
        <v>287</v>
      </c>
      <c r="B101" s="123">
        <v>1</v>
      </c>
      <c r="C101" s="126">
        <v>94</v>
      </c>
      <c r="D101" s="124" t="s">
        <v>288</v>
      </c>
      <c r="E101" s="192">
        <v>89</v>
      </c>
      <c r="F101" s="125">
        <f>ROUND(E101*Valores!$C$2,2)</f>
        <v>6906.11</v>
      </c>
      <c r="G101" s="192">
        <v>1956</v>
      </c>
      <c r="H101" s="125">
        <f>ROUND(G101*Valores!$C$2,2)</f>
        <v>151779.15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55787.23</v>
      </c>
      <c r="N101" s="125">
        <f t="shared" si="12"/>
        <v>0</v>
      </c>
      <c r="O101" s="125">
        <f>Valores!$C$16</f>
        <v>67049.36</v>
      </c>
      <c r="P101" s="125">
        <f>Valores!$D$5</f>
        <v>39667.43</v>
      </c>
      <c r="Q101" s="125">
        <v>0</v>
      </c>
      <c r="R101" s="125">
        <f>IF($F$4="NO",Valores!$C$45,Valores!$C$45/2)</f>
        <v>27554.83</v>
      </c>
      <c r="S101" s="125">
        <f>Valores!$C$19</f>
        <v>36908.81</v>
      </c>
      <c r="T101" s="125">
        <f t="shared" si="19"/>
        <v>36908.81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Valores!$C$96</f>
        <v>54315.88</v>
      </c>
      <c r="AA101" s="125">
        <f>Valores!$C$25</f>
        <v>1622.32</v>
      </c>
      <c r="AB101" s="214">
        <v>0</v>
      </c>
      <c r="AC101" s="125">
        <f t="shared" si="13"/>
        <v>0</v>
      </c>
      <c r="AD101" s="125">
        <f>Valores!$C$26</f>
        <v>1622.32</v>
      </c>
      <c r="AE101" s="192">
        <v>0</v>
      </c>
      <c r="AF101" s="125">
        <f>ROUND(AE101*Valores!$C$2,2)</f>
        <v>0</v>
      </c>
      <c r="AG101" s="125">
        <f>ROUND(IF($F$4="NO",Valores!$C$64,Valores!$C$64/2),2)</f>
        <v>18547.32</v>
      </c>
      <c r="AH101" s="125">
        <f>SUM(F101,H101,J101,L101,M101,N101,O101,P101,Q101,R101,T101,U101,V101,X101,Y101,Z101,AA101,AC101,AD101,AF101,AG101)*Valores!$C$104</f>
        <v>46176.076000000001</v>
      </c>
      <c r="AI101" s="125">
        <f t="shared" si="16"/>
        <v>507936.83600000001</v>
      </c>
      <c r="AJ101" s="125">
        <f>Valores!$C$31</f>
        <v>35000</v>
      </c>
      <c r="AK101" s="125">
        <v>0</v>
      </c>
      <c r="AL101" s="125">
        <f>Valores!$C$89</f>
        <v>0</v>
      </c>
      <c r="AM101" s="125">
        <f>Valores!C$39*B101</f>
        <v>0</v>
      </c>
      <c r="AN101" s="125">
        <f>IF($F$3="NO",0,Valores!$C$57)</f>
        <v>0</v>
      </c>
      <c r="AO101" s="125">
        <f t="shared" si="14"/>
        <v>35000</v>
      </c>
      <c r="AP101" s="125">
        <f>AI101*Valores!$C$72</f>
        <v>-55873.051960000004</v>
      </c>
      <c r="AQ101" s="125">
        <f>IF(AI101&lt;Valores!$E$73,-0.02,IF(AI101&lt;Valores!$F$73,-0.03,-0.04))*AI101</f>
        <v>-10158.736720000001</v>
      </c>
      <c r="AR101" s="125">
        <f>AI101*Valores!$C$75</f>
        <v>-27936.525980000002</v>
      </c>
      <c r="AS101" s="125">
        <f>Valores!$C$102</f>
        <v>-1270.1600000000001</v>
      </c>
      <c r="AT101" s="125">
        <f>IF($F$5=0,Valores!$C$103,(Valores!$C$103+$F$5*(Valores!$C$103)))</f>
        <v>-3700</v>
      </c>
      <c r="AU101" s="125">
        <f t="shared" si="17"/>
        <v>443998.36134</v>
      </c>
      <c r="AV101" s="125">
        <f t="shared" si="11"/>
        <v>-55873.051960000004</v>
      </c>
      <c r="AW101" s="125">
        <f t="shared" si="18"/>
        <v>-10158.736720000001</v>
      </c>
      <c r="AX101" s="125">
        <f>AI101*Valores!$C$76</f>
        <v>-13714.294572000001</v>
      </c>
      <c r="AY101" s="125">
        <f>AI101*Valores!$C$77</f>
        <v>-1523.810508</v>
      </c>
      <c r="AZ101" s="125">
        <f t="shared" si="15"/>
        <v>461666.94224</v>
      </c>
      <c r="BA101" s="125">
        <f>AI101*Valores!$C$79</f>
        <v>81269.893760000006</v>
      </c>
      <c r="BB101" s="125">
        <f>AI101*Valores!$C$80</f>
        <v>35555.578520000003</v>
      </c>
      <c r="BC101" s="125">
        <f>AI101*Valores!$C$81</f>
        <v>5079.3683600000004</v>
      </c>
      <c r="BD101" s="125">
        <f>AI101*Valores!$C$83</f>
        <v>17777.789260000001</v>
      </c>
      <c r="BE101" s="125">
        <f>AI101*Valores!$C$85</f>
        <v>27428.589144000001</v>
      </c>
      <c r="BF101" s="125">
        <f>AI101*Valores!$C$84</f>
        <v>3047.6210160000001</v>
      </c>
      <c r="BG101" s="126"/>
      <c r="BH101" s="126"/>
      <c r="BI101" s="123" t="s">
        <v>8</v>
      </c>
    </row>
    <row r="102" spans="1:61" s="110" customFormat="1" ht="11.25" customHeight="1" x14ac:dyDescent="0.15">
      <c r="A102" s="123" t="s">
        <v>289</v>
      </c>
      <c r="B102" s="123">
        <v>1</v>
      </c>
      <c r="C102" s="126">
        <v>95</v>
      </c>
      <c r="D102" s="124" t="s">
        <v>290</v>
      </c>
      <c r="E102" s="192">
        <v>89</v>
      </c>
      <c r="F102" s="125">
        <f>ROUND(E102*Valores!$C$2,2)</f>
        <v>6906.11</v>
      </c>
      <c r="G102" s="192">
        <v>1267</v>
      </c>
      <c r="H102" s="125">
        <f>ROUND(G102*Valores!$C$2,2)</f>
        <v>98315.02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42421.19</v>
      </c>
      <c r="N102" s="125">
        <f t="shared" si="12"/>
        <v>0</v>
      </c>
      <c r="O102" s="125">
        <f>Valores!$C$16</f>
        <v>67049.36</v>
      </c>
      <c r="P102" s="125">
        <f>Valores!$D$5</f>
        <v>39667.43</v>
      </c>
      <c r="Q102" s="125">
        <v>0</v>
      </c>
      <c r="R102" s="125">
        <f>IF($F$4="NO",Valores!$C$45,Valores!$C$45/2)</f>
        <v>27554.83</v>
      </c>
      <c r="S102" s="125">
        <f>Valores!$C$19</f>
        <v>36908.81</v>
      </c>
      <c r="T102" s="125">
        <f t="shared" si="19"/>
        <v>36908.81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Valores!$C$96</f>
        <v>54315.88</v>
      </c>
      <c r="AA102" s="125">
        <f>Valores!$C$25</f>
        <v>1622.32</v>
      </c>
      <c r="AB102" s="214">
        <v>0</v>
      </c>
      <c r="AC102" s="125">
        <f t="shared" si="13"/>
        <v>0</v>
      </c>
      <c r="AD102" s="125">
        <f>Valores!$C$26</f>
        <v>1622.32</v>
      </c>
      <c r="AE102" s="192">
        <v>0</v>
      </c>
      <c r="AF102" s="125">
        <f>ROUND(AE102*Valores!$C$2,2)</f>
        <v>0</v>
      </c>
      <c r="AG102" s="125">
        <f>ROUND(IF($F$4="NO",Valores!$C$64,Valores!$C$64/2),2)</f>
        <v>18547.32</v>
      </c>
      <c r="AH102" s="125">
        <f>SUM(F102,H102,J102,L102,M102,N102,O102,P102,Q102,R102,T102,U102,V102,X102,Y102,Z102,AA102,AC102,AD102,AF102,AG102)*Valores!$C$104</f>
        <v>39493.059000000008</v>
      </c>
      <c r="AI102" s="125">
        <f t="shared" si="16"/>
        <v>434423.64900000003</v>
      </c>
      <c r="AJ102" s="125">
        <f>Valores!$C$31</f>
        <v>35000</v>
      </c>
      <c r="AK102" s="125">
        <v>0</v>
      </c>
      <c r="AL102" s="125">
        <f>Valores!$C$89</f>
        <v>0</v>
      </c>
      <c r="AM102" s="125">
        <f>Valores!C$39*B102</f>
        <v>0</v>
      </c>
      <c r="AN102" s="125">
        <f>IF($F$3="NO",0,Valores!$C$57)</f>
        <v>0</v>
      </c>
      <c r="AO102" s="125">
        <f t="shared" si="14"/>
        <v>35000</v>
      </c>
      <c r="AP102" s="125">
        <f>AI102*Valores!$C$72</f>
        <v>-47786.601390000003</v>
      </c>
      <c r="AQ102" s="125">
        <f>IF(AI102&lt;Valores!$E$73,-0.02,IF(AI102&lt;Valores!$F$73,-0.03,-0.04))*AI102</f>
        <v>-8688.4729800000005</v>
      </c>
      <c r="AR102" s="125">
        <f>AI102*Valores!$C$75</f>
        <v>-23893.300695000002</v>
      </c>
      <c r="AS102" s="125">
        <f>Valores!$C$102</f>
        <v>-1270.1600000000001</v>
      </c>
      <c r="AT102" s="125">
        <f>IF($F$5=0,Valores!$C$103,(Valores!$C$103+$F$5*(Valores!$C$103)))</f>
        <v>-3700</v>
      </c>
      <c r="AU102" s="125">
        <f t="shared" si="17"/>
        <v>384085.11393500003</v>
      </c>
      <c r="AV102" s="125">
        <f t="shared" si="11"/>
        <v>-47786.601390000003</v>
      </c>
      <c r="AW102" s="125">
        <f t="shared" si="18"/>
        <v>-8688.4729800000005</v>
      </c>
      <c r="AX102" s="125">
        <f>AI102*Valores!$C$76</f>
        <v>-11729.438523000001</v>
      </c>
      <c r="AY102" s="125">
        <f>AI102*Valores!$C$77</f>
        <v>-1303.2709470000002</v>
      </c>
      <c r="AZ102" s="125">
        <f t="shared" si="15"/>
        <v>399915.86516000004</v>
      </c>
      <c r="BA102" s="125">
        <f>AI102*Valores!$C$79</f>
        <v>69507.783840000004</v>
      </c>
      <c r="BB102" s="125">
        <f>AI102*Valores!$C$80</f>
        <v>30409.655430000006</v>
      </c>
      <c r="BC102" s="125">
        <f>AI102*Valores!$C$81</f>
        <v>4344.2364900000002</v>
      </c>
      <c r="BD102" s="125">
        <f>AI102*Valores!$C$83</f>
        <v>15204.827715000003</v>
      </c>
      <c r="BE102" s="125">
        <f>AI102*Valores!$C$85</f>
        <v>23458.877046000001</v>
      </c>
      <c r="BF102" s="125">
        <f>AI102*Valores!$C$84</f>
        <v>2606.5418940000004</v>
      </c>
      <c r="BG102" s="126"/>
      <c r="BH102" s="126"/>
      <c r="BI102" s="123" t="s">
        <v>8</v>
      </c>
    </row>
    <row r="103" spans="1:61" s="110" customFormat="1" ht="11.25" customHeight="1" x14ac:dyDescent="0.15">
      <c r="A103" s="123" t="s">
        <v>291</v>
      </c>
      <c r="B103" s="123">
        <v>1</v>
      </c>
      <c r="C103" s="126">
        <v>96</v>
      </c>
      <c r="D103" s="124" t="s">
        <v>292</v>
      </c>
      <c r="E103" s="192">
        <v>67</v>
      </c>
      <c r="F103" s="125">
        <f>ROUND(E103*Valores!$C$2,2)</f>
        <v>5198.9799999999996</v>
      </c>
      <c r="G103" s="192">
        <v>2108</v>
      </c>
      <c r="H103" s="125">
        <f>ROUND(G103*Valores!$C$2,2)</f>
        <v>163573.84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57438.6</v>
      </c>
      <c r="N103" s="125">
        <f t="shared" si="12"/>
        <v>0</v>
      </c>
      <c r="O103" s="125">
        <f>Valores!$C$14</f>
        <v>77265.73</v>
      </c>
      <c r="P103" s="125">
        <f>Valores!$D$5</f>
        <v>39667.43</v>
      </c>
      <c r="Q103" s="125">
        <v>0</v>
      </c>
      <c r="R103" s="125">
        <f>IF($F$4="NO",Valores!$C$43,Valores!$C$43/2)</f>
        <v>24450.1</v>
      </c>
      <c r="S103" s="125">
        <f>Valores!$C$20</f>
        <v>36531.46</v>
      </c>
      <c r="T103" s="125">
        <f t="shared" si="19"/>
        <v>36531.46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Valores!$C$96</f>
        <v>54315.88</v>
      </c>
      <c r="AA103" s="125">
        <f>Valores!$C$25</f>
        <v>1622.32</v>
      </c>
      <c r="AB103" s="214">
        <v>0</v>
      </c>
      <c r="AC103" s="125">
        <f t="shared" si="13"/>
        <v>0</v>
      </c>
      <c r="AD103" s="125">
        <f>Valores!$C$26</f>
        <v>1622.32</v>
      </c>
      <c r="AE103" s="192">
        <v>0</v>
      </c>
      <c r="AF103" s="125">
        <f>ROUND(AE103*Valores!$C$2,2)</f>
        <v>0</v>
      </c>
      <c r="AG103" s="125">
        <f>ROUND(IF($F$4="NO",Valores!$C$64,Valores!$C$64/2),2)</f>
        <v>18547.32</v>
      </c>
      <c r="AH103" s="125">
        <f>SUM(F103,H103,J103,L103,M103,N103,O103,P103,Q103,R103,T103,U103,V103,X103,Y103,Z103,AA103,AC103,AD103,AF103,AG103)*Valores!$C$104</f>
        <v>48023.398000000008</v>
      </c>
      <c r="AI103" s="125">
        <f t="shared" si="16"/>
        <v>528257.37800000003</v>
      </c>
      <c r="AJ103" s="125">
        <f>Valores!$C$31</f>
        <v>35000</v>
      </c>
      <c r="AK103" s="125">
        <v>0</v>
      </c>
      <c r="AL103" s="125">
        <f>Valores!$C$89</f>
        <v>0</v>
      </c>
      <c r="AM103" s="125">
        <f>Valores!C$39*B103</f>
        <v>0</v>
      </c>
      <c r="AN103" s="125">
        <f>IF($F$3="NO",0,Valores!$C$57)</f>
        <v>0</v>
      </c>
      <c r="AO103" s="125">
        <f t="shared" si="14"/>
        <v>35000</v>
      </c>
      <c r="AP103" s="125">
        <f>AI103*Valores!$C$72</f>
        <v>-58108.311580000001</v>
      </c>
      <c r="AQ103" s="125">
        <f>IF(AI103&lt;Valores!$E$73,-0.02,IF(AI103&lt;Valores!$F$73,-0.03,-0.04))*AI103</f>
        <v>-10565.147560000001</v>
      </c>
      <c r="AR103" s="125">
        <f>AI103*Valores!$C$75</f>
        <v>-29054.155790000001</v>
      </c>
      <c r="AS103" s="125">
        <f>Valores!$C$102</f>
        <v>-1270.1600000000001</v>
      </c>
      <c r="AT103" s="125">
        <f>IF($F$5=0,Valores!$C$103,(Valores!$C$103+$F$5*(Valores!$C$103)))</f>
        <v>-3700</v>
      </c>
      <c r="AU103" s="125">
        <f t="shared" si="17"/>
        <v>460559.60307000001</v>
      </c>
      <c r="AV103" s="125">
        <f t="shared" si="11"/>
        <v>-58108.311580000001</v>
      </c>
      <c r="AW103" s="125">
        <f t="shared" si="18"/>
        <v>-10565.147560000001</v>
      </c>
      <c r="AX103" s="125">
        <f>AI103*Valores!$C$76</f>
        <v>-14262.949206000001</v>
      </c>
      <c r="AY103" s="125">
        <f>AI103*Valores!$C$77</f>
        <v>-1584.7721340000001</v>
      </c>
      <c r="AZ103" s="125">
        <f t="shared" si="15"/>
        <v>478736.19752000005</v>
      </c>
      <c r="BA103" s="125">
        <f>AI103*Valores!$C$79</f>
        <v>84521.18048000001</v>
      </c>
      <c r="BB103" s="125">
        <f>AI103*Valores!$C$80</f>
        <v>36978.016460000006</v>
      </c>
      <c r="BC103" s="125">
        <f>AI103*Valores!$C$81</f>
        <v>5282.5737800000006</v>
      </c>
      <c r="BD103" s="125">
        <f>AI103*Valores!$C$83</f>
        <v>18489.008230000003</v>
      </c>
      <c r="BE103" s="125">
        <f>AI103*Valores!$C$85</f>
        <v>28525.898412000002</v>
      </c>
      <c r="BF103" s="125">
        <f>AI103*Valores!$C$84</f>
        <v>3169.5442680000001</v>
      </c>
      <c r="BG103" s="126"/>
      <c r="BH103" s="126">
        <v>30</v>
      </c>
      <c r="BI103" s="123" t="s">
        <v>4</v>
      </c>
    </row>
    <row r="104" spans="1:61" s="110" customFormat="1" ht="11.25" customHeight="1" x14ac:dyDescent="0.15">
      <c r="A104" s="123" t="s">
        <v>293</v>
      </c>
      <c r="B104" s="123">
        <v>1</v>
      </c>
      <c r="C104" s="126">
        <v>97</v>
      </c>
      <c r="D104" s="124" t="s">
        <v>294</v>
      </c>
      <c r="E104" s="192">
        <v>45</v>
      </c>
      <c r="F104" s="125">
        <f>ROUND(E104*Valores!$C$2,2)</f>
        <v>3491.85</v>
      </c>
      <c r="G104" s="192">
        <v>1502</v>
      </c>
      <c r="H104" s="125">
        <f>ROUND(G104*Valores!$C$2,2)</f>
        <v>116550.24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45255.91</v>
      </c>
      <c r="N104" s="125">
        <f t="shared" si="12"/>
        <v>0</v>
      </c>
      <c r="O104" s="125">
        <f>Valores!$C$14</f>
        <v>77265.73</v>
      </c>
      <c r="P104" s="125">
        <f>Valores!$D$5</f>
        <v>39667.43</v>
      </c>
      <c r="Q104" s="125">
        <v>0</v>
      </c>
      <c r="R104" s="125">
        <f>IF($F$4="NO",Valores!$C$43,Valores!$C$43/2)</f>
        <v>24450.1</v>
      </c>
      <c r="S104" s="125">
        <f>Valores!$C$20</f>
        <v>36531.46</v>
      </c>
      <c r="T104" s="125">
        <f t="shared" si="19"/>
        <v>36531.46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Valores!$C$96</f>
        <v>54315.88</v>
      </c>
      <c r="AA104" s="125">
        <f>Valores!$C$25</f>
        <v>1622.32</v>
      </c>
      <c r="AB104" s="214">
        <v>0</v>
      </c>
      <c r="AC104" s="125">
        <f t="shared" si="13"/>
        <v>0</v>
      </c>
      <c r="AD104" s="125">
        <f>Valores!$C$26</f>
        <v>1622.32</v>
      </c>
      <c r="AE104" s="192">
        <v>0</v>
      </c>
      <c r="AF104" s="125">
        <f>ROUND(AE104*Valores!$C$2,2)</f>
        <v>0</v>
      </c>
      <c r="AG104" s="125">
        <f>ROUND(IF($F$4="NO",Valores!$C$64,Valores!$C$64/2),2)</f>
        <v>18547.32</v>
      </c>
      <c r="AH104" s="125">
        <f>SUM(F104,H104,J104,L104,M104,N104,O104,P104,Q104,R104,T104,U104,V104,X104,Y104,Z104,AA104,AC104,AD104,AF104,AG104)*Valores!$C$104</f>
        <v>41932.056000000004</v>
      </c>
      <c r="AI104" s="125">
        <f t="shared" si="16"/>
        <v>461252.61599999998</v>
      </c>
      <c r="AJ104" s="125">
        <f>Valores!$C$31</f>
        <v>35000</v>
      </c>
      <c r="AK104" s="125">
        <v>0</v>
      </c>
      <c r="AL104" s="125">
        <f>Valores!$C$89</f>
        <v>0</v>
      </c>
      <c r="AM104" s="125">
        <f>Valores!C$39*B104</f>
        <v>0</v>
      </c>
      <c r="AN104" s="125">
        <f>IF($F$3="NO",0,Valores!$C$57)</f>
        <v>0</v>
      </c>
      <c r="AO104" s="125">
        <f t="shared" si="14"/>
        <v>35000</v>
      </c>
      <c r="AP104" s="125">
        <f>AI104*Valores!$C$72</f>
        <v>-50737.787759999999</v>
      </c>
      <c r="AQ104" s="125">
        <f>IF(AI104&lt;Valores!$E$73,-0.02,IF(AI104&lt;Valores!$F$73,-0.03,-0.04))*AI104</f>
        <v>-9225.0523200000007</v>
      </c>
      <c r="AR104" s="125">
        <f>AI104*Valores!$C$75</f>
        <v>-25368.89388</v>
      </c>
      <c r="AS104" s="125">
        <f>Valores!$C$102</f>
        <v>-1270.1600000000001</v>
      </c>
      <c r="AT104" s="125">
        <f>IF($F$5=0,Valores!$C$103,(Valores!$C$103+$F$5*(Valores!$C$103)))</f>
        <v>-3700</v>
      </c>
      <c r="AU104" s="125">
        <f t="shared" si="17"/>
        <v>405950.72203999996</v>
      </c>
      <c r="AV104" s="125">
        <f t="shared" si="11"/>
        <v>-50737.787759999999</v>
      </c>
      <c r="AW104" s="125">
        <f t="shared" si="18"/>
        <v>-9225.0523200000007</v>
      </c>
      <c r="AX104" s="125">
        <f>AI104*Valores!$C$76</f>
        <v>-12453.820631999999</v>
      </c>
      <c r="AY104" s="125">
        <f>AI104*Valores!$C$77</f>
        <v>-1383.757848</v>
      </c>
      <c r="AZ104" s="125">
        <f t="shared" si="15"/>
        <v>422452.19744000002</v>
      </c>
      <c r="BA104" s="125">
        <f>AI104*Valores!$C$79</f>
        <v>73800.418560000006</v>
      </c>
      <c r="BB104" s="125">
        <f>AI104*Valores!$C$80</f>
        <v>32287.683120000002</v>
      </c>
      <c r="BC104" s="125">
        <f>AI104*Valores!$C$81</f>
        <v>4612.5261600000003</v>
      </c>
      <c r="BD104" s="125">
        <f>AI104*Valores!$C$83</f>
        <v>16143.841560000001</v>
      </c>
      <c r="BE104" s="125">
        <f>AI104*Valores!$C$85</f>
        <v>24907.641263999998</v>
      </c>
      <c r="BF104" s="125">
        <f>AI104*Valores!$C$84</f>
        <v>2767.5156959999999</v>
      </c>
      <c r="BG104" s="126"/>
      <c r="BH104" s="126"/>
      <c r="BI104" s="123" t="s">
        <v>4</v>
      </c>
    </row>
    <row r="105" spans="1:61" s="110" customFormat="1" ht="11.25" customHeight="1" x14ac:dyDescent="0.15">
      <c r="A105" s="123" t="s">
        <v>295</v>
      </c>
      <c r="B105" s="123">
        <v>1</v>
      </c>
      <c r="C105" s="126">
        <v>98</v>
      </c>
      <c r="D105" s="124" t="s">
        <v>296</v>
      </c>
      <c r="E105" s="192">
        <v>61</v>
      </c>
      <c r="F105" s="125">
        <f>ROUND(E105*Valores!$C$2,2)</f>
        <v>4733.3999999999996</v>
      </c>
      <c r="G105" s="192">
        <v>2114</v>
      </c>
      <c r="H105" s="125">
        <f>ROUND(G105*Valores!$C$2,2)</f>
        <v>164039.42000000001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57438.6</v>
      </c>
      <c r="N105" s="125">
        <f t="shared" si="12"/>
        <v>0</v>
      </c>
      <c r="O105" s="125">
        <f>Valores!$C$14</f>
        <v>77265.73</v>
      </c>
      <c r="P105" s="125">
        <f>Valores!$D$5</f>
        <v>39667.43</v>
      </c>
      <c r="Q105" s="125">
        <v>0</v>
      </c>
      <c r="R105" s="125">
        <f>IF($F$4="NO",Valores!$C$43,Valores!$C$43/2)</f>
        <v>24450.1</v>
      </c>
      <c r="S105" s="125">
        <f>Valores!$C$20</f>
        <v>36531.46</v>
      </c>
      <c r="T105" s="125">
        <f t="shared" si="19"/>
        <v>36531.46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Valores!$C$96</f>
        <v>54315.88</v>
      </c>
      <c r="AA105" s="125">
        <f>Valores!$C$25</f>
        <v>1622.32</v>
      </c>
      <c r="AB105" s="214">
        <v>0</v>
      </c>
      <c r="AC105" s="125">
        <f t="shared" si="13"/>
        <v>0</v>
      </c>
      <c r="AD105" s="125">
        <f>Valores!$C$26</f>
        <v>1622.32</v>
      </c>
      <c r="AE105" s="192">
        <v>0</v>
      </c>
      <c r="AF105" s="125">
        <f>ROUND(AE105*Valores!$C$2,2)</f>
        <v>0</v>
      </c>
      <c r="AG105" s="125">
        <f>ROUND(IF($F$4="NO",Valores!$C$64,Valores!$C$64/2),2)</f>
        <v>18547.32</v>
      </c>
      <c r="AH105" s="125">
        <f>SUM(F105,H105,J105,L105,M105,N105,O105,P105,Q105,R105,T105,U105,V105,X105,Y105,Z105,AA105,AC105,AD105,AF105,AG105)*Valores!$C$104</f>
        <v>48023.398000000008</v>
      </c>
      <c r="AI105" s="125">
        <f t="shared" si="16"/>
        <v>528257.37800000003</v>
      </c>
      <c r="AJ105" s="125">
        <f>Valores!$C$31</f>
        <v>35000</v>
      </c>
      <c r="AK105" s="125">
        <v>0</v>
      </c>
      <c r="AL105" s="125">
        <f>Valores!$C$89</f>
        <v>0</v>
      </c>
      <c r="AM105" s="125">
        <f>Valores!C$39*B105</f>
        <v>0</v>
      </c>
      <c r="AN105" s="125">
        <f>IF($F$3="NO",0,Valores!$C$57)</f>
        <v>0</v>
      </c>
      <c r="AO105" s="125">
        <f t="shared" si="14"/>
        <v>35000</v>
      </c>
      <c r="AP105" s="125">
        <f>AI105*Valores!$C$72</f>
        <v>-58108.311580000001</v>
      </c>
      <c r="AQ105" s="125">
        <f>IF(AI105&lt;Valores!$E$73,-0.02,IF(AI105&lt;Valores!$F$73,-0.03,-0.04))*AI105</f>
        <v>-10565.147560000001</v>
      </c>
      <c r="AR105" s="125">
        <f>AI105*Valores!$C$75</f>
        <v>-29054.155790000001</v>
      </c>
      <c r="AS105" s="125">
        <f>Valores!$C$102</f>
        <v>-1270.1600000000001</v>
      </c>
      <c r="AT105" s="125">
        <f>IF($F$5=0,Valores!$C$103,(Valores!$C$103+$F$5*(Valores!$C$103)))</f>
        <v>-3700</v>
      </c>
      <c r="AU105" s="125">
        <f t="shared" si="17"/>
        <v>460559.60307000001</v>
      </c>
      <c r="AV105" s="125">
        <f t="shared" si="11"/>
        <v>-58108.311580000001</v>
      </c>
      <c r="AW105" s="125">
        <f t="shared" si="18"/>
        <v>-10565.147560000001</v>
      </c>
      <c r="AX105" s="125">
        <f>AI105*Valores!$C$76</f>
        <v>-14262.949206000001</v>
      </c>
      <c r="AY105" s="125">
        <f>AI105*Valores!$C$77</f>
        <v>-1584.7721340000001</v>
      </c>
      <c r="AZ105" s="125">
        <f t="shared" si="15"/>
        <v>478736.19752000005</v>
      </c>
      <c r="BA105" s="125">
        <f>AI105*Valores!$C$79</f>
        <v>84521.18048000001</v>
      </c>
      <c r="BB105" s="125">
        <f>AI105*Valores!$C$80</f>
        <v>36978.016460000006</v>
      </c>
      <c r="BC105" s="125">
        <f>AI105*Valores!$C$81</f>
        <v>5282.5737800000006</v>
      </c>
      <c r="BD105" s="125">
        <f>AI105*Valores!$C$83</f>
        <v>18489.008230000003</v>
      </c>
      <c r="BE105" s="125">
        <f>AI105*Valores!$C$85</f>
        <v>28525.898412000002</v>
      </c>
      <c r="BF105" s="125">
        <f>AI105*Valores!$C$84</f>
        <v>3169.5442680000001</v>
      </c>
      <c r="BG105" s="126"/>
      <c r="BH105" s="126">
        <v>30</v>
      </c>
      <c r="BI105" s="123" t="s">
        <v>4</v>
      </c>
    </row>
    <row r="106" spans="1:61" s="110" customFormat="1" ht="11.25" customHeight="1" x14ac:dyDescent="0.15">
      <c r="A106" s="123" t="s">
        <v>297</v>
      </c>
      <c r="B106" s="123">
        <v>1</v>
      </c>
      <c r="C106" s="126">
        <v>99</v>
      </c>
      <c r="D106" s="124" t="s">
        <v>298</v>
      </c>
      <c r="E106" s="192">
        <v>59</v>
      </c>
      <c r="F106" s="125">
        <f>ROUND(E106*Valores!$C$2,2)</f>
        <v>4578.21</v>
      </c>
      <c r="G106" s="192">
        <v>2013</v>
      </c>
      <c r="H106" s="125">
        <f>ROUND(G106*Valores!$C$2,2)</f>
        <v>156202.16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55440.480000000003</v>
      </c>
      <c r="N106" s="125">
        <f t="shared" si="12"/>
        <v>0</v>
      </c>
      <c r="O106" s="125">
        <f>Valores!$C$14</f>
        <v>77265.73</v>
      </c>
      <c r="P106" s="125">
        <f>Valores!$D$5</f>
        <v>39667.43</v>
      </c>
      <c r="Q106" s="125">
        <v>0</v>
      </c>
      <c r="R106" s="125">
        <f>IF($F$4="NO",Valores!$C$43,Valores!$C$43/2)</f>
        <v>24450.1</v>
      </c>
      <c r="S106" s="125">
        <f>Valores!$C$20</f>
        <v>36531.46</v>
      </c>
      <c r="T106" s="125">
        <f t="shared" si="19"/>
        <v>36531.46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Valores!$C$96</f>
        <v>54315.88</v>
      </c>
      <c r="AA106" s="125">
        <f>Valores!$C$25</f>
        <v>1622.32</v>
      </c>
      <c r="AB106" s="214">
        <v>0</v>
      </c>
      <c r="AC106" s="125">
        <f t="shared" si="13"/>
        <v>0</v>
      </c>
      <c r="AD106" s="125">
        <f>Valores!$C$26</f>
        <v>1622.32</v>
      </c>
      <c r="AE106" s="192">
        <v>0</v>
      </c>
      <c r="AF106" s="125">
        <f>ROUND(AE106*Valores!$C$2,2)</f>
        <v>0</v>
      </c>
      <c r="AG106" s="125">
        <f>ROUND(IF($F$4="NO",Valores!$C$64,Valores!$C$64/2),2)</f>
        <v>18547.32</v>
      </c>
      <c r="AH106" s="125">
        <f>SUM(F106,H106,J106,L106,M106,N106,O106,P106,Q106,R106,T106,U106,V106,X106,Y106,Z106,AA106,AC106,AD106,AF106,AG106)*Valores!$C$104</f>
        <v>47024.341000000008</v>
      </c>
      <c r="AI106" s="125">
        <f t="shared" si="16"/>
        <v>517267.75100000005</v>
      </c>
      <c r="AJ106" s="125">
        <f>Valores!$C$31</f>
        <v>35000</v>
      </c>
      <c r="AK106" s="125">
        <v>0</v>
      </c>
      <c r="AL106" s="125">
        <f>Valores!$C$89</f>
        <v>0</v>
      </c>
      <c r="AM106" s="125">
        <f>Valores!C$39*B106</f>
        <v>0</v>
      </c>
      <c r="AN106" s="125">
        <f>IF($F$3="NO",0,Valores!$C$57)</f>
        <v>0</v>
      </c>
      <c r="AO106" s="125">
        <f t="shared" si="14"/>
        <v>35000</v>
      </c>
      <c r="AP106" s="125">
        <f>AI106*Valores!$C$72</f>
        <v>-56899.452610000008</v>
      </c>
      <c r="AQ106" s="125">
        <f>IF(AI106&lt;Valores!$E$73,-0.02,IF(AI106&lt;Valores!$F$73,-0.03,-0.04))*AI106</f>
        <v>-10345.355020000001</v>
      </c>
      <c r="AR106" s="125">
        <f>AI106*Valores!$C$75</f>
        <v>-28449.726305000004</v>
      </c>
      <c r="AS106" s="125">
        <f>Valores!$C$102</f>
        <v>-1270.1600000000001</v>
      </c>
      <c r="AT106" s="125">
        <f>IF($F$5=0,Valores!$C$103,(Valores!$C$103+$F$5*(Valores!$C$103)))</f>
        <v>-3700</v>
      </c>
      <c r="AU106" s="125">
        <f t="shared" si="17"/>
        <v>451603.05706500006</v>
      </c>
      <c r="AV106" s="125">
        <f t="shared" si="11"/>
        <v>-56899.452610000008</v>
      </c>
      <c r="AW106" s="125">
        <f t="shared" si="18"/>
        <v>-10345.355020000001</v>
      </c>
      <c r="AX106" s="125">
        <f>AI106*Valores!$C$76</f>
        <v>-13966.229277</v>
      </c>
      <c r="AY106" s="125">
        <f>AI106*Valores!$C$77</f>
        <v>-1551.8032530000003</v>
      </c>
      <c r="AZ106" s="125">
        <f t="shared" si="15"/>
        <v>469504.91084000003</v>
      </c>
      <c r="BA106" s="125">
        <f>AI106*Valores!$C$79</f>
        <v>82762.840160000007</v>
      </c>
      <c r="BB106" s="125">
        <f>AI106*Valores!$C$80</f>
        <v>36208.742570000009</v>
      </c>
      <c r="BC106" s="125">
        <f>AI106*Valores!$C$81</f>
        <v>5172.6775100000004</v>
      </c>
      <c r="BD106" s="125">
        <f>AI106*Valores!$C$83</f>
        <v>18104.371285000005</v>
      </c>
      <c r="BE106" s="125">
        <f>AI106*Valores!$C$85</f>
        <v>27932.458554000001</v>
      </c>
      <c r="BF106" s="125">
        <f>AI106*Valores!$C$84</f>
        <v>3103.6065060000005</v>
      </c>
      <c r="BG106" s="126"/>
      <c r="BH106" s="126">
        <v>30</v>
      </c>
      <c r="BI106" s="123" t="s">
        <v>4</v>
      </c>
    </row>
    <row r="107" spans="1:61" s="110" customFormat="1" ht="11.25" customHeight="1" x14ac:dyDescent="0.15">
      <c r="A107" s="123" t="s">
        <v>299</v>
      </c>
      <c r="B107" s="123">
        <v>1</v>
      </c>
      <c r="C107" s="126">
        <v>100</v>
      </c>
      <c r="D107" s="124" t="s">
        <v>300</v>
      </c>
      <c r="E107" s="192">
        <v>56</v>
      </c>
      <c r="F107" s="125">
        <f>ROUND(E107*Valores!$C$2,2)</f>
        <v>4345.42</v>
      </c>
      <c r="G107" s="192">
        <v>1720</v>
      </c>
      <c r="H107" s="125">
        <f>ROUND(G107*Valores!$C$2,2)</f>
        <v>133466.32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49698.33</v>
      </c>
      <c r="N107" s="125">
        <f t="shared" si="12"/>
        <v>0</v>
      </c>
      <c r="O107" s="125">
        <f>Valores!$C$14</f>
        <v>77265.73</v>
      </c>
      <c r="P107" s="125">
        <f>Valores!$D$5</f>
        <v>39667.43</v>
      </c>
      <c r="Q107" s="125">
        <v>0</v>
      </c>
      <c r="R107" s="125">
        <f>IF($F$4="NO",Valores!$C$43,Valores!$C$43/2)</f>
        <v>24450.1</v>
      </c>
      <c r="S107" s="125">
        <f>Valores!$C$20</f>
        <v>36531.46</v>
      </c>
      <c r="T107" s="125">
        <f t="shared" si="19"/>
        <v>36531.46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Valores!$C$96</f>
        <v>54315.88</v>
      </c>
      <c r="AA107" s="125">
        <f>Valores!$C$25</f>
        <v>1622.32</v>
      </c>
      <c r="AB107" s="214">
        <v>0</v>
      </c>
      <c r="AC107" s="125">
        <f t="shared" si="13"/>
        <v>0</v>
      </c>
      <c r="AD107" s="125">
        <f>Valores!$C$26</f>
        <v>1622.32</v>
      </c>
      <c r="AE107" s="192">
        <v>0</v>
      </c>
      <c r="AF107" s="125">
        <f>ROUND(AE107*Valores!$C$2,2)</f>
        <v>0</v>
      </c>
      <c r="AG107" s="125">
        <f>ROUND(IF($F$4="NO",Valores!$C$64,Valores!$C$64/2),2)</f>
        <v>18547.32</v>
      </c>
      <c r="AH107" s="125">
        <f>SUM(F107,H107,J107,L107,M107,N107,O107,P107,Q107,R107,T107,U107,V107,X107,Y107,Z107,AA107,AC107,AD107,AF107,AG107)*Valores!$C$104</f>
        <v>44153.263000000006</v>
      </c>
      <c r="AI107" s="125">
        <f t="shared" si="16"/>
        <v>485685.89300000004</v>
      </c>
      <c r="AJ107" s="125">
        <f>Valores!$C$31</f>
        <v>35000</v>
      </c>
      <c r="AK107" s="125">
        <v>0</v>
      </c>
      <c r="AL107" s="125">
        <f>Valores!$C$89</f>
        <v>0</v>
      </c>
      <c r="AM107" s="125">
        <f>Valores!C$39*B107</f>
        <v>0</v>
      </c>
      <c r="AN107" s="125">
        <f>IF($F$3="NO",0,Valores!$C$57)</f>
        <v>0</v>
      </c>
      <c r="AO107" s="125">
        <f t="shared" si="14"/>
        <v>35000</v>
      </c>
      <c r="AP107" s="125">
        <f>AI107*Valores!$C$72</f>
        <v>-53425.448230000002</v>
      </c>
      <c r="AQ107" s="125">
        <f>IF(AI107&lt;Valores!$E$73,-0.02,IF(AI107&lt;Valores!$F$73,-0.03,-0.04))*AI107</f>
        <v>-9713.7178600000007</v>
      </c>
      <c r="AR107" s="125">
        <f>AI107*Valores!$C$75</f>
        <v>-26712.724115000001</v>
      </c>
      <c r="AS107" s="125">
        <f>Valores!$C$102</f>
        <v>-1270.1600000000001</v>
      </c>
      <c r="AT107" s="125">
        <f>IF($F$5=0,Valores!$C$103,(Valores!$C$103+$F$5*(Valores!$C$103)))</f>
        <v>-3700</v>
      </c>
      <c r="AU107" s="125">
        <f t="shared" si="17"/>
        <v>425863.84279500006</v>
      </c>
      <c r="AV107" s="125">
        <f t="shared" si="11"/>
        <v>-53425.448230000002</v>
      </c>
      <c r="AW107" s="125">
        <f t="shared" si="18"/>
        <v>-9713.7178600000007</v>
      </c>
      <c r="AX107" s="125">
        <f>AI107*Valores!$C$76</f>
        <v>-13113.519111000001</v>
      </c>
      <c r="AY107" s="125">
        <f>AI107*Valores!$C$77</f>
        <v>-1457.0576790000002</v>
      </c>
      <c r="AZ107" s="125">
        <f t="shared" si="15"/>
        <v>442976.15012000001</v>
      </c>
      <c r="BA107" s="125">
        <f>AI107*Valores!$C$79</f>
        <v>77709.742880000005</v>
      </c>
      <c r="BB107" s="125">
        <f>AI107*Valores!$C$80</f>
        <v>33998.012510000008</v>
      </c>
      <c r="BC107" s="125">
        <f>AI107*Valores!$C$81</f>
        <v>4856.8589300000003</v>
      </c>
      <c r="BD107" s="125">
        <f>AI107*Valores!$C$83</f>
        <v>16999.006255000004</v>
      </c>
      <c r="BE107" s="125">
        <f>AI107*Valores!$C$85</f>
        <v>26227.038222000003</v>
      </c>
      <c r="BF107" s="125">
        <f>AI107*Valores!$C$84</f>
        <v>2914.1153580000005</v>
      </c>
      <c r="BG107" s="126"/>
      <c r="BH107" s="126">
        <v>30</v>
      </c>
      <c r="BI107" s="123" t="s">
        <v>4</v>
      </c>
    </row>
    <row r="108" spans="1:61" s="110" customFormat="1" ht="11.25" customHeight="1" x14ac:dyDescent="0.15">
      <c r="A108" s="123" t="s">
        <v>301</v>
      </c>
      <c r="B108" s="123">
        <v>1</v>
      </c>
      <c r="C108" s="126">
        <v>101</v>
      </c>
      <c r="D108" s="124" t="s">
        <v>302</v>
      </c>
      <c r="E108" s="192">
        <v>45</v>
      </c>
      <c r="F108" s="125">
        <f>ROUND(E108*Valores!$C$2,2)</f>
        <v>3491.85</v>
      </c>
      <c r="G108" s="192">
        <v>1502</v>
      </c>
      <c r="H108" s="125">
        <f>ROUND(G108*Valores!$C$2,2)</f>
        <v>116550.24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45255.91</v>
      </c>
      <c r="N108" s="125">
        <f t="shared" si="12"/>
        <v>0</v>
      </c>
      <c r="O108" s="125">
        <f>Valores!$C$14</f>
        <v>77265.73</v>
      </c>
      <c r="P108" s="125">
        <f>Valores!$D$5</f>
        <v>39667.43</v>
      </c>
      <c r="Q108" s="125">
        <v>0</v>
      </c>
      <c r="R108" s="125">
        <f>IF($F$4="NO",Valores!$C$43,Valores!$C$43/2)</f>
        <v>24450.1</v>
      </c>
      <c r="S108" s="125">
        <f>Valores!$C$20</f>
        <v>36531.46</v>
      </c>
      <c r="T108" s="125">
        <f t="shared" si="19"/>
        <v>36531.46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Valores!$C$96</f>
        <v>54315.88</v>
      </c>
      <c r="AA108" s="125">
        <f>Valores!$C$25</f>
        <v>1622.32</v>
      </c>
      <c r="AB108" s="214">
        <v>0</v>
      </c>
      <c r="AC108" s="125">
        <f t="shared" si="13"/>
        <v>0</v>
      </c>
      <c r="AD108" s="125">
        <f>Valores!$C$26</f>
        <v>1622.32</v>
      </c>
      <c r="AE108" s="192">
        <v>0</v>
      </c>
      <c r="AF108" s="125">
        <f>ROUND(AE108*Valores!$C$2,2)</f>
        <v>0</v>
      </c>
      <c r="AG108" s="125">
        <f>ROUND(IF($F$4="NO",Valores!$C$64,Valores!$C$64/2),2)</f>
        <v>18547.32</v>
      </c>
      <c r="AH108" s="125">
        <f>SUM(F108,H108,J108,L108,M108,N108,O108,P108,Q108,R108,T108,U108,V108,X108,Y108,Z108,AA108,AC108,AD108,AF108,AG108)*Valores!$C$104</f>
        <v>41932.056000000004</v>
      </c>
      <c r="AI108" s="125">
        <f t="shared" si="16"/>
        <v>461252.61599999998</v>
      </c>
      <c r="AJ108" s="125">
        <f>Valores!$C$31</f>
        <v>35000</v>
      </c>
      <c r="AK108" s="125">
        <v>0</v>
      </c>
      <c r="AL108" s="125">
        <f>Valores!$C$89</f>
        <v>0</v>
      </c>
      <c r="AM108" s="125">
        <f>Valores!C$39*B108</f>
        <v>0</v>
      </c>
      <c r="AN108" s="125">
        <f>IF($F$3="NO",0,Valores!$C$57)</f>
        <v>0</v>
      </c>
      <c r="AO108" s="125">
        <f t="shared" si="14"/>
        <v>35000</v>
      </c>
      <c r="AP108" s="125">
        <f>AI108*Valores!$C$72</f>
        <v>-50737.787759999999</v>
      </c>
      <c r="AQ108" s="125">
        <f>IF(AI108&lt;Valores!$E$73,-0.02,IF(AI108&lt;Valores!$F$73,-0.03,-0.04))*AI108</f>
        <v>-9225.0523200000007</v>
      </c>
      <c r="AR108" s="125">
        <f>AI108*Valores!$C$75</f>
        <v>-25368.89388</v>
      </c>
      <c r="AS108" s="125">
        <f>Valores!$C$102</f>
        <v>-1270.1600000000001</v>
      </c>
      <c r="AT108" s="125">
        <f>IF($F$5=0,Valores!$C$103,(Valores!$C$103+$F$5*(Valores!$C$103)))</f>
        <v>-3700</v>
      </c>
      <c r="AU108" s="125">
        <f t="shared" si="17"/>
        <v>405950.72203999996</v>
      </c>
      <c r="AV108" s="125">
        <f t="shared" si="11"/>
        <v>-50737.787759999999</v>
      </c>
      <c r="AW108" s="125">
        <f t="shared" si="18"/>
        <v>-9225.0523200000007</v>
      </c>
      <c r="AX108" s="125">
        <f>AI108*Valores!$C$76</f>
        <v>-12453.820631999999</v>
      </c>
      <c r="AY108" s="125">
        <f>AI108*Valores!$C$77</f>
        <v>-1383.757848</v>
      </c>
      <c r="AZ108" s="125">
        <f t="shared" si="15"/>
        <v>422452.19744000002</v>
      </c>
      <c r="BA108" s="125">
        <f>AI108*Valores!$C$79</f>
        <v>73800.418560000006</v>
      </c>
      <c r="BB108" s="125">
        <f>AI108*Valores!$C$80</f>
        <v>32287.683120000002</v>
      </c>
      <c r="BC108" s="125">
        <f>AI108*Valores!$C$81</f>
        <v>4612.5261600000003</v>
      </c>
      <c r="BD108" s="125">
        <f>AI108*Valores!$C$83</f>
        <v>16143.841560000001</v>
      </c>
      <c r="BE108" s="125">
        <f>AI108*Valores!$C$85</f>
        <v>24907.641263999998</v>
      </c>
      <c r="BF108" s="125">
        <f>AI108*Valores!$C$84</f>
        <v>2767.5156959999999</v>
      </c>
      <c r="BG108" s="126"/>
      <c r="BH108" s="126">
        <v>30</v>
      </c>
      <c r="BI108" s="123" t="s">
        <v>4</v>
      </c>
    </row>
    <row r="109" spans="1:61" s="110" customFormat="1" ht="11.25" customHeight="1" x14ac:dyDescent="0.15">
      <c r="A109" s="123" t="s">
        <v>303</v>
      </c>
      <c r="B109" s="123">
        <v>1</v>
      </c>
      <c r="C109" s="126">
        <v>102</v>
      </c>
      <c r="D109" s="124" t="s">
        <v>304</v>
      </c>
      <c r="E109" s="192">
        <v>45</v>
      </c>
      <c r="F109" s="125">
        <f>ROUND(E109*Valores!$C$2,2)</f>
        <v>3491.85</v>
      </c>
      <c r="G109" s="192">
        <v>1139</v>
      </c>
      <c r="H109" s="125">
        <f>ROUND(G109*Valores!$C$2,2)</f>
        <v>88382.64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38214.01</v>
      </c>
      <c r="N109" s="125">
        <f t="shared" si="12"/>
        <v>0</v>
      </c>
      <c r="O109" s="125">
        <f>Valores!$C$14</f>
        <v>77265.73</v>
      </c>
      <c r="P109" s="125">
        <f>Valores!$D$5</f>
        <v>39667.43</v>
      </c>
      <c r="Q109" s="125">
        <v>0</v>
      </c>
      <c r="R109" s="125">
        <f>IF($F$4="NO",Valores!$C$43,Valores!$C$43/2)</f>
        <v>24450.1</v>
      </c>
      <c r="S109" s="125">
        <f>Valores!$C$20</f>
        <v>36531.46</v>
      </c>
      <c r="T109" s="125">
        <f t="shared" si="19"/>
        <v>36531.46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Valores!$C$96</f>
        <v>54315.88</v>
      </c>
      <c r="AA109" s="125">
        <f>Valores!$C$25</f>
        <v>1622.32</v>
      </c>
      <c r="AB109" s="214">
        <v>0</v>
      </c>
      <c r="AC109" s="125">
        <f t="shared" si="13"/>
        <v>0</v>
      </c>
      <c r="AD109" s="125">
        <f>Valores!$C$26</f>
        <v>1622.32</v>
      </c>
      <c r="AE109" s="192">
        <v>0</v>
      </c>
      <c r="AF109" s="125">
        <f>ROUND(AE109*Valores!$C$2,2)</f>
        <v>0</v>
      </c>
      <c r="AG109" s="125">
        <f>ROUND(IF($F$4="NO",Valores!$C$64,Valores!$C$64/2),2)</f>
        <v>18547.32</v>
      </c>
      <c r="AH109" s="125">
        <f>SUM(F109,H109,J109,L109,M109,N109,O109,P109,Q109,R109,T109,U109,V109,X109,Y109,Z109,AA109,AC109,AD109,AF109,AG109)*Valores!$C$104</f>
        <v>38411.106</v>
      </c>
      <c r="AI109" s="125">
        <f t="shared" si="16"/>
        <v>422522.16599999997</v>
      </c>
      <c r="AJ109" s="125">
        <f>Valores!$C$31</f>
        <v>35000</v>
      </c>
      <c r="AK109" s="125">
        <v>0</v>
      </c>
      <c r="AL109" s="125">
        <f>Valores!$C$89</f>
        <v>0</v>
      </c>
      <c r="AM109" s="125">
        <f>Valores!C$39*B109</f>
        <v>0</v>
      </c>
      <c r="AN109" s="125">
        <f>IF($F$3="NO",0,Valores!$C$57)</f>
        <v>0</v>
      </c>
      <c r="AO109" s="125">
        <f t="shared" si="14"/>
        <v>35000</v>
      </c>
      <c r="AP109" s="125">
        <f>AI109*Valores!$C$72</f>
        <v>-46477.438259999995</v>
      </c>
      <c r="AQ109" s="125">
        <f>IF(AI109&lt;Valores!$E$73,-0.02,IF(AI109&lt;Valores!$F$73,-0.03,-0.04))*AI109</f>
        <v>-8450.4433200000003</v>
      </c>
      <c r="AR109" s="125">
        <f>AI109*Valores!$C$75</f>
        <v>-23238.719129999998</v>
      </c>
      <c r="AS109" s="125">
        <f>Valores!$C$102</f>
        <v>-1270.1600000000001</v>
      </c>
      <c r="AT109" s="125">
        <f>IF($F$5=0,Valores!$C$103,(Valores!$C$103+$F$5*(Valores!$C$103)))</f>
        <v>-3700</v>
      </c>
      <c r="AU109" s="125">
        <f t="shared" si="17"/>
        <v>374385.40528999997</v>
      </c>
      <c r="AV109" s="125">
        <f t="shared" si="11"/>
        <v>-46477.438259999995</v>
      </c>
      <c r="AW109" s="125">
        <f t="shared" si="18"/>
        <v>-8450.4433200000003</v>
      </c>
      <c r="AX109" s="125">
        <f>AI109*Valores!$C$76</f>
        <v>-11408.098481999999</v>
      </c>
      <c r="AY109" s="125">
        <f>AI109*Valores!$C$77</f>
        <v>-1267.5664979999999</v>
      </c>
      <c r="AZ109" s="125">
        <f t="shared" si="15"/>
        <v>389918.61943999998</v>
      </c>
      <c r="BA109" s="125">
        <f>AI109*Valores!$C$79</f>
        <v>67603.546560000003</v>
      </c>
      <c r="BB109" s="125">
        <f>AI109*Valores!$C$80</f>
        <v>29576.551620000002</v>
      </c>
      <c r="BC109" s="125">
        <f>AI109*Valores!$C$81</f>
        <v>4225.2216600000002</v>
      </c>
      <c r="BD109" s="125">
        <f>AI109*Valores!$C$83</f>
        <v>14788.275810000001</v>
      </c>
      <c r="BE109" s="125">
        <f>AI109*Valores!$C$85</f>
        <v>22816.196963999999</v>
      </c>
      <c r="BF109" s="125">
        <f>AI109*Valores!$C$84</f>
        <v>2535.1329959999998</v>
      </c>
      <c r="BG109" s="126"/>
      <c r="BH109" s="126">
        <v>30</v>
      </c>
      <c r="BI109" s="123" t="s">
        <v>4</v>
      </c>
    </row>
    <row r="110" spans="1:61" s="110" customFormat="1" ht="11.25" customHeight="1" x14ac:dyDescent="0.15">
      <c r="A110" s="123" t="s">
        <v>305</v>
      </c>
      <c r="B110" s="123">
        <v>1</v>
      </c>
      <c r="C110" s="126">
        <v>103</v>
      </c>
      <c r="D110" s="124" t="s">
        <v>306</v>
      </c>
      <c r="E110" s="192">
        <v>46</v>
      </c>
      <c r="F110" s="125">
        <f>ROUND(E110*Valores!$C$2,2)</f>
        <v>3569.45</v>
      </c>
      <c r="G110" s="192">
        <v>1102</v>
      </c>
      <c r="H110" s="125">
        <f>ROUND(G110*Valores!$C$2,2)</f>
        <v>85511.56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37515.64</v>
      </c>
      <c r="N110" s="125">
        <f t="shared" si="12"/>
        <v>0</v>
      </c>
      <c r="O110" s="125">
        <f>Valores!$C$14</f>
        <v>77265.73</v>
      </c>
      <c r="P110" s="125">
        <f>Valores!$D$5</f>
        <v>39667.43</v>
      </c>
      <c r="Q110" s="125">
        <v>0</v>
      </c>
      <c r="R110" s="125">
        <f>IF($F$4="NO",Valores!$C$43,Valores!$C$43/2)</f>
        <v>24450.1</v>
      </c>
      <c r="S110" s="125">
        <f>Valores!$C$20</f>
        <v>36531.46</v>
      </c>
      <c r="T110" s="125">
        <f t="shared" si="19"/>
        <v>36531.46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Valores!$C$96</f>
        <v>54315.88</v>
      </c>
      <c r="AA110" s="125">
        <f>Valores!$C$25</f>
        <v>1622.32</v>
      </c>
      <c r="AB110" s="214">
        <v>0</v>
      </c>
      <c r="AC110" s="125">
        <f t="shared" si="13"/>
        <v>0</v>
      </c>
      <c r="AD110" s="125">
        <f>Valores!$C$26</f>
        <v>1622.32</v>
      </c>
      <c r="AE110" s="192">
        <v>0</v>
      </c>
      <c r="AF110" s="125">
        <f>ROUND(AE110*Valores!$C$2,2)</f>
        <v>0</v>
      </c>
      <c r="AG110" s="125">
        <f>ROUND(IF($F$4="NO",Valores!$C$64,Valores!$C$64/2),2)</f>
        <v>18547.32</v>
      </c>
      <c r="AH110" s="125">
        <f>SUM(F110,H110,J110,L110,M110,N110,O110,P110,Q110,R110,T110,U110,V110,X110,Y110,Z110,AA110,AC110,AD110,AF110,AG110)*Valores!$C$104</f>
        <v>38061.921000000002</v>
      </c>
      <c r="AI110" s="125">
        <f t="shared" si="16"/>
        <v>418681.13100000005</v>
      </c>
      <c r="AJ110" s="125">
        <f>Valores!$C$31</f>
        <v>35000</v>
      </c>
      <c r="AK110" s="125">
        <v>0</v>
      </c>
      <c r="AL110" s="125">
        <f>Valores!$C$89</f>
        <v>0</v>
      </c>
      <c r="AM110" s="125">
        <f>Valores!C$39*B110</f>
        <v>0</v>
      </c>
      <c r="AN110" s="125">
        <f>IF($F$3="NO",0,Valores!$C$57)</f>
        <v>0</v>
      </c>
      <c r="AO110" s="125">
        <f t="shared" si="14"/>
        <v>35000</v>
      </c>
      <c r="AP110" s="125">
        <f>AI110*Valores!$C$72</f>
        <v>-46054.924410000007</v>
      </c>
      <c r="AQ110" s="125">
        <f>IF(AI110&lt;Valores!$E$73,-0.02,IF(AI110&lt;Valores!$F$73,-0.03,-0.04))*AI110</f>
        <v>-8373.6226200000019</v>
      </c>
      <c r="AR110" s="125">
        <f>AI110*Valores!$C$75</f>
        <v>-23027.462205000003</v>
      </c>
      <c r="AS110" s="125">
        <f>Valores!$C$102</f>
        <v>-1270.1600000000001</v>
      </c>
      <c r="AT110" s="125">
        <f>IF($F$5=0,Valores!$C$103,(Valores!$C$103+$F$5*(Valores!$C$103)))</f>
        <v>-3700</v>
      </c>
      <c r="AU110" s="125">
        <f t="shared" si="17"/>
        <v>371254.96176500001</v>
      </c>
      <c r="AV110" s="125">
        <f t="shared" si="11"/>
        <v>-46054.924410000007</v>
      </c>
      <c r="AW110" s="125">
        <f t="shared" si="18"/>
        <v>-8373.6226200000019</v>
      </c>
      <c r="AX110" s="125">
        <f>AI110*Valores!$C$76</f>
        <v>-11304.390537000001</v>
      </c>
      <c r="AY110" s="125">
        <f>AI110*Valores!$C$77</f>
        <v>-1256.0433930000002</v>
      </c>
      <c r="AZ110" s="125">
        <f t="shared" si="15"/>
        <v>386692.15004000004</v>
      </c>
      <c r="BA110" s="125">
        <f>AI110*Valores!$C$79</f>
        <v>66988.980960000015</v>
      </c>
      <c r="BB110" s="125">
        <f>AI110*Valores!$C$80</f>
        <v>29307.679170000007</v>
      </c>
      <c r="BC110" s="125">
        <f>AI110*Valores!$C$81</f>
        <v>4186.811310000001</v>
      </c>
      <c r="BD110" s="125">
        <f>AI110*Valores!$C$83</f>
        <v>14653.839585000003</v>
      </c>
      <c r="BE110" s="125">
        <f>AI110*Valores!$C$85</f>
        <v>22608.781074000002</v>
      </c>
      <c r="BF110" s="125">
        <f>AI110*Valores!$C$84</f>
        <v>2512.0867860000003</v>
      </c>
      <c r="BG110" s="126"/>
      <c r="BH110" s="126">
        <v>30</v>
      </c>
      <c r="BI110" s="123" t="s">
        <v>4</v>
      </c>
    </row>
    <row r="111" spans="1:61" s="110" customFormat="1" ht="11.25" customHeight="1" x14ac:dyDescent="0.15">
      <c r="A111" s="123" t="s">
        <v>307</v>
      </c>
      <c r="B111" s="123">
        <v>1</v>
      </c>
      <c r="C111" s="126">
        <v>104</v>
      </c>
      <c r="D111" s="124" t="s">
        <v>308</v>
      </c>
      <c r="E111" s="192">
        <v>66</v>
      </c>
      <c r="F111" s="125">
        <f>ROUND(E111*Valores!$C$2,2)</f>
        <v>5121.38</v>
      </c>
      <c r="G111" s="192">
        <v>1911</v>
      </c>
      <c r="H111" s="125">
        <f>ROUND(G111*Valores!$C$2,2)</f>
        <v>148287.29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53597.56</v>
      </c>
      <c r="N111" s="125">
        <f t="shared" si="12"/>
        <v>0</v>
      </c>
      <c r="O111" s="125">
        <f>Valores!$C$14</f>
        <v>77265.73</v>
      </c>
      <c r="P111" s="125">
        <f>Valores!$D$5</f>
        <v>39667.43</v>
      </c>
      <c r="Q111" s="125">
        <f>Valores!$C$22</f>
        <v>35387.42</v>
      </c>
      <c r="R111" s="125">
        <f>IF($F$4="NO",Valores!$C$43,Valores!$C$43/2)</f>
        <v>24450.1</v>
      </c>
      <c r="S111" s="125">
        <f>Valores!$C$20</f>
        <v>36531.46</v>
      </c>
      <c r="T111" s="125">
        <f t="shared" si="19"/>
        <v>36531.46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Valores!$C$96</f>
        <v>54315.88</v>
      </c>
      <c r="AA111" s="125">
        <f>Valores!$C$25</f>
        <v>1622.32</v>
      </c>
      <c r="AB111" s="214">
        <v>0</v>
      </c>
      <c r="AC111" s="125">
        <f t="shared" si="13"/>
        <v>0</v>
      </c>
      <c r="AD111" s="125">
        <f>Valores!$C$26</f>
        <v>1622.32</v>
      </c>
      <c r="AE111" s="192">
        <v>94</v>
      </c>
      <c r="AF111" s="125">
        <f>ROUND(AE111*Valores!$C$2,2)</f>
        <v>7294.09</v>
      </c>
      <c r="AG111" s="125">
        <f>ROUND(IF($F$4="NO",Valores!$C$64,Valores!$C$64/2),2)</f>
        <v>18547.32</v>
      </c>
      <c r="AH111" s="125">
        <f>SUM(F111,H111,J111,L111,M111,N111,O111,P111,Q111,R111,T111,U111,V111,X111,Y111,Z111,AA111,AC111,AD111,AF111,AG111)*Valores!$C$104</f>
        <v>50371.030000000006</v>
      </c>
      <c r="AI111" s="125">
        <f t="shared" si="16"/>
        <v>554081.33000000007</v>
      </c>
      <c r="AJ111" s="125">
        <f>Valores!$C$31</f>
        <v>35000</v>
      </c>
      <c r="AK111" s="125">
        <v>0</v>
      </c>
      <c r="AL111" s="125">
        <f>Valores!$C$89</f>
        <v>0</v>
      </c>
      <c r="AM111" s="125">
        <f>Valores!C$39*B111</f>
        <v>0</v>
      </c>
      <c r="AN111" s="125">
        <f>IF($F$3="NO",0,Valores!$C$57)</f>
        <v>0</v>
      </c>
      <c r="AO111" s="125">
        <f t="shared" si="14"/>
        <v>35000</v>
      </c>
      <c r="AP111" s="125">
        <f>AI111*Valores!$C$72</f>
        <v>-60948.946300000011</v>
      </c>
      <c r="AQ111" s="125">
        <f>IF(AI111&lt;Valores!$E$73,-0.02,IF(AI111&lt;Valores!$F$73,-0.03,-0.04))*AI111</f>
        <v>-11081.626600000001</v>
      </c>
      <c r="AR111" s="125">
        <f>AI111*Valores!$C$75</f>
        <v>-30474.473150000005</v>
      </c>
      <c r="AS111" s="125">
        <f>Valores!$C$102</f>
        <v>-1270.1600000000001</v>
      </c>
      <c r="AT111" s="125">
        <f>IF($F$5=0,Valores!$C$103,(Valores!$C$103+$F$5*(Valores!$C$103)))</f>
        <v>-3700</v>
      </c>
      <c r="AU111" s="125">
        <f t="shared" si="17"/>
        <v>481606.12395000004</v>
      </c>
      <c r="AV111" s="125">
        <f t="shared" si="11"/>
        <v>-60948.946300000011</v>
      </c>
      <c r="AW111" s="125">
        <f t="shared" si="18"/>
        <v>-11081.626600000001</v>
      </c>
      <c r="AX111" s="125">
        <f>AI111*Valores!$C$76</f>
        <v>-14960.195910000002</v>
      </c>
      <c r="AY111" s="125">
        <f>AI111*Valores!$C$77</f>
        <v>-1662.2439900000002</v>
      </c>
      <c r="AZ111" s="125">
        <f t="shared" si="15"/>
        <v>500428.31720000005</v>
      </c>
      <c r="BA111" s="125">
        <f>AI111*Valores!$C$79</f>
        <v>88653.012800000011</v>
      </c>
      <c r="BB111" s="125">
        <f>AI111*Valores!$C$80</f>
        <v>38785.693100000011</v>
      </c>
      <c r="BC111" s="125">
        <f>AI111*Valores!$C$81</f>
        <v>5540.8133000000007</v>
      </c>
      <c r="BD111" s="125">
        <f>AI111*Valores!$C$83</f>
        <v>19392.846550000006</v>
      </c>
      <c r="BE111" s="125">
        <f>AI111*Valores!$C$85</f>
        <v>29920.391820000004</v>
      </c>
      <c r="BF111" s="125">
        <f>AI111*Valores!$C$84</f>
        <v>3324.4879800000003</v>
      </c>
      <c r="BG111" s="126"/>
      <c r="BH111" s="126">
        <v>25</v>
      </c>
      <c r="BI111" s="123" t="s">
        <v>4</v>
      </c>
    </row>
    <row r="112" spans="1:61" s="110" customFormat="1" ht="11.25" customHeight="1" x14ac:dyDescent="0.15">
      <c r="A112" s="123" t="s">
        <v>309</v>
      </c>
      <c r="B112" s="123">
        <v>1</v>
      </c>
      <c r="C112" s="126">
        <v>105</v>
      </c>
      <c r="D112" s="124" t="s">
        <v>310</v>
      </c>
      <c r="E112" s="192">
        <v>61</v>
      </c>
      <c r="F112" s="125">
        <f>ROUND(E112*Valores!$C$2,2)</f>
        <v>4733.3999999999996</v>
      </c>
      <c r="G112" s="192">
        <v>1545</v>
      </c>
      <c r="H112" s="125">
        <f>ROUND(G112*Valores!$C$2,2)</f>
        <v>119886.9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46400.47</v>
      </c>
      <c r="N112" s="125">
        <f t="shared" si="12"/>
        <v>0</v>
      </c>
      <c r="O112" s="125">
        <f>Valores!$C$14</f>
        <v>77265.73</v>
      </c>
      <c r="P112" s="125">
        <f>Valores!$D$5</f>
        <v>39667.43</v>
      </c>
      <c r="Q112" s="125">
        <f>Valores!$C$22</f>
        <v>35387.42</v>
      </c>
      <c r="R112" s="125">
        <f>IF($F$4="NO",Valores!$C$43,Valores!$C$43/2)</f>
        <v>24450.1</v>
      </c>
      <c r="S112" s="125">
        <f>Valores!$C$20</f>
        <v>36531.46</v>
      </c>
      <c r="T112" s="125">
        <f t="shared" si="19"/>
        <v>36531.46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Valores!$C$96</f>
        <v>54315.88</v>
      </c>
      <c r="AA112" s="125">
        <f>Valores!$C$25</f>
        <v>1622.32</v>
      </c>
      <c r="AB112" s="214">
        <v>0</v>
      </c>
      <c r="AC112" s="125">
        <f t="shared" si="13"/>
        <v>0</v>
      </c>
      <c r="AD112" s="125">
        <f>Valores!$C$26</f>
        <v>1622.32</v>
      </c>
      <c r="AE112" s="192">
        <v>94</v>
      </c>
      <c r="AF112" s="125">
        <f>ROUND(AE112*Valores!$C$2,2)</f>
        <v>7294.09</v>
      </c>
      <c r="AG112" s="125">
        <f>ROUND(IF($F$4="NO",Valores!$C$64,Valores!$C$64/2),2)</f>
        <v>18547.32</v>
      </c>
      <c r="AH112" s="125">
        <f>SUM(F112,H112,J112,L112,M112,N112,O112,P112,Q112,R112,T112,U112,V112,X112,Y112,Z112,AA112,AC112,AD112,AF112,AG112)*Valores!$C$104</f>
        <v>46772.484000000004</v>
      </c>
      <c r="AI112" s="125">
        <f t="shared" si="16"/>
        <v>514497.32400000002</v>
      </c>
      <c r="AJ112" s="125">
        <f>Valores!$C$31</f>
        <v>35000</v>
      </c>
      <c r="AK112" s="125">
        <v>0</v>
      </c>
      <c r="AL112" s="125">
        <f>Valores!$C$89</f>
        <v>0</v>
      </c>
      <c r="AM112" s="125">
        <f>Valores!C$39*B112</f>
        <v>0</v>
      </c>
      <c r="AN112" s="125">
        <f>IF($F$3="NO",0,Valores!$C$57)</f>
        <v>0</v>
      </c>
      <c r="AO112" s="125">
        <f t="shared" si="14"/>
        <v>35000</v>
      </c>
      <c r="AP112" s="125">
        <f>AI112*Valores!$C$72</f>
        <v>-56594.70564</v>
      </c>
      <c r="AQ112" s="125">
        <f>IF(AI112&lt;Valores!$E$73,-0.02,IF(AI112&lt;Valores!$F$73,-0.03,-0.04))*AI112</f>
        <v>-10289.946480000001</v>
      </c>
      <c r="AR112" s="125">
        <f>AI112*Valores!$C$75</f>
        <v>-28297.35282</v>
      </c>
      <c r="AS112" s="125">
        <f>Valores!$C$102</f>
        <v>-1270.1600000000001</v>
      </c>
      <c r="AT112" s="125">
        <f>IF($F$5=0,Valores!$C$103,(Valores!$C$103+$F$5*(Valores!$C$103)))</f>
        <v>-3700</v>
      </c>
      <c r="AU112" s="125">
        <f t="shared" si="17"/>
        <v>449345.15906000003</v>
      </c>
      <c r="AV112" s="125">
        <f t="shared" si="11"/>
        <v>-56594.70564</v>
      </c>
      <c r="AW112" s="125">
        <f t="shared" si="18"/>
        <v>-10289.946480000001</v>
      </c>
      <c r="AX112" s="125">
        <f>AI112*Valores!$C$76</f>
        <v>-13891.427748</v>
      </c>
      <c r="AY112" s="125">
        <f>AI112*Valores!$C$77</f>
        <v>-1543.491972</v>
      </c>
      <c r="AZ112" s="125">
        <f t="shared" si="15"/>
        <v>467177.75216000003</v>
      </c>
      <c r="BA112" s="125">
        <f>AI112*Valores!$C$79</f>
        <v>82319.571840000004</v>
      </c>
      <c r="BB112" s="125">
        <f>AI112*Valores!$C$80</f>
        <v>36014.812680000003</v>
      </c>
      <c r="BC112" s="125">
        <f>AI112*Valores!$C$81</f>
        <v>5144.9732400000003</v>
      </c>
      <c r="BD112" s="125">
        <f>AI112*Valores!$C$83</f>
        <v>18007.406340000001</v>
      </c>
      <c r="BE112" s="125">
        <f>AI112*Valores!$C$85</f>
        <v>27782.855496</v>
      </c>
      <c r="BF112" s="125">
        <f>AI112*Valores!$C$84</f>
        <v>3086.9839440000001</v>
      </c>
      <c r="BG112" s="126"/>
      <c r="BH112" s="126">
        <v>25</v>
      </c>
      <c r="BI112" s="123" t="s">
        <v>8</v>
      </c>
    </row>
    <row r="113" spans="1:61" s="110" customFormat="1" ht="11.25" customHeight="1" x14ac:dyDescent="0.15">
      <c r="A113" s="123" t="s">
        <v>311</v>
      </c>
      <c r="B113" s="123">
        <v>1</v>
      </c>
      <c r="C113" s="126">
        <v>106</v>
      </c>
      <c r="D113" s="124" t="s">
        <v>312</v>
      </c>
      <c r="E113" s="192">
        <f>75+143</f>
        <v>218</v>
      </c>
      <c r="F113" s="125">
        <f>ROUND(E113*Valores!$C$2,2)</f>
        <v>16916.080000000002</v>
      </c>
      <c r="G113" s="192">
        <v>2100</v>
      </c>
      <c r="H113" s="125">
        <f>ROUND(G113*Valores!$C$2,2)</f>
        <v>162953.07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60212.68</v>
      </c>
      <c r="N113" s="125">
        <f t="shared" si="12"/>
        <v>0</v>
      </c>
      <c r="O113" s="125">
        <f>Valores!$C$14</f>
        <v>77265.73</v>
      </c>
      <c r="P113" s="125">
        <f>Valores!$D$5</f>
        <v>39667.43</v>
      </c>
      <c r="Q113" s="125">
        <f>Valores!$C$22</f>
        <v>35387.42</v>
      </c>
      <c r="R113" s="125">
        <f>IF($F$4="NO",Valores!$C$43,Valores!$C$43/2)</f>
        <v>24450.1</v>
      </c>
      <c r="S113" s="125">
        <f>Valores!$C$20</f>
        <v>36531.46</v>
      </c>
      <c r="T113" s="125">
        <f t="shared" si="19"/>
        <v>36531.46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Valores!$C$96</f>
        <v>54315.88</v>
      </c>
      <c r="AA113" s="125">
        <f>Valores!$C$25</f>
        <v>1622.32</v>
      </c>
      <c r="AB113" s="214">
        <v>0</v>
      </c>
      <c r="AC113" s="125">
        <f t="shared" si="13"/>
        <v>0</v>
      </c>
      <c r="AD113" s="125">
        <f>Valores!$C$26</f>
        <v>1622.32</v>
      </c>
      <c r="AE113" s="192">
        <v>0</v>
      </c>
      <c r="AF113" s="125">
        <f>ROUND(AE113*Valores!$C$2,2)</f>
        <v>0</v>
      </c>
      <c r="AG113" s="125">
        <f>ROUND(IF($F$4="NO",Valores!$C$64,Valores!$C$64/2),2)</f>
        <v>18547.32</v>
      </c>
      <c r="AH113" s="125">
        <f>SUM(F113,H113,J113,L113,M113,N113,O113,P113,Q113,R113,T113,U113,V113,X113,Y113,Z113,AA113,AC113,AD113,AF113,AG113)*Valores!$C$104</f>
        <v>52949.180999999997</v>
      </c>
      <c r="AI113" s="125">
        <f t="shared" si="16"/>
        <v>582440.99099999992</v>
      </c>
      <c r="AJ113" s="125">
        <f>Valores!$C$31</f>
        <v>35000</v>
      </c>
      <c r="AK113" s="125">
        <v>0</v>
      </c>
      <c r="AL113" s="125">
        <f>Valores!$C$89</f>
        <v>0</v>
      </c>
      <c r="AM113" s="125">
        <f>Valores!C$39*B113</f>
        <v>0</v>
      </c>
      <c r="AN113" s="125">
        <f>IF($F$3="NO",0,Valores!$C$57)</f>
        <v>0</v>
      </c>
      <c r="AO113" s="125">
        <f t="shared" si="14"/>
        <v>35000</v>
      </c>
      <c r="AP113" s="125">
        <f>AI113*Valores!$C$72</f>
        <v>-64068.509009999994</v>
      </c>
      <c r="AQ113" s="125">
        <f>IF(AI113&lt;Valores!$E$73,-0.02,IF(AI113&lt;Valores!$F$73,-0.03,-0.04))*AI113</f>
        <v>-11648.819819999999</v>
      </c>
      <c r="AR113" s="125">
        <f>AI113*Valores!$C$75</f>
        <v>-32034.254504999997</v>
      </c>
      <c r="AS113" s="125">
        <f>Valores!$C$102</f>
        <v>-1270.1600000000001</v>
      </c>
      <c r="AT113" s="125">
        <f>IF($F$5=0,Valores!$C$103,(Valores!$C$103+$F$5*(Valores!$C$103)))</f>
        <v>-3700</v>
      </c>
      <c r="AU113" s="125">
        <f t="shared" si="17"/>
        <v>504719.24766499992</v>
      </c>
      <c r="AV113" s="125">
        <f t="shared" si="11"/>
        <v>-64068.509009999994</v>
      </c>
      <c r="AW113" s="125">
        <f t="shared" si="18"/>
        <v>-11648.819819999999</v>
      </c>
      <c r="AX113" s="125">
        <f>AI113*Valores!$C$76</f>
        <v>-15725.906756999997</v>
      </c>
      <c r="AY113" s="125">
        <f>AI113*Valores!$C$77</f>
        <v>-1747.3229729999998</v>
      </c>
      <c r="AZ113" s="125">
        <f t="shared" si="15"/>
        <v>524250.43243999989</v>
      </c>
      <c r="BA113" s="125">
        <f>AI113*Valores!$C$79</f>
        <v>93190.55855999999</v>
      </c>
      <c r="BB113" s="125">
        <f>AI113*Valores!$C$80</f>
        <v>40770.86937</v>
      </c>
      <c r="BC113" s="125">
        <f>AI113*Valores!$C$81</f>
        <v>5824.4099099999994</v>
      </c>
      <c r="BD113" s="125">
        <f>AI113*Valores!$C$83</f>
        <v>20385.434685</v>
      </c>
      <c r="BE113" s="125">
        <f>AI113*Valores!$C$85</f>
        <v>31451.813513999994</v>
      </c>
      <c r="BF113" s="125">
        <f>AI113*Valores!$C$84</f>
        <v>3494.6459459999996</v>
      </c>
      <c r="BG113" s="126"/>
      <c r="BH113" s="126">
        <v>30</v>
      </c>
      <c r="BI113" s="123" t="s">
        <v>4</v>
      </c>
    </row>
    <row r="114" spans="1:61" s="110" customFormat="1" ht="11.25" customHeight="1" x14ac:dyDescent="0.15">
      <c r="A114" s="123" t="s">
        <v>313</v>
      </c>
      <c r="B114" s="123">
        <v>1</v>
      </c>
      <c r="C114" s="126">
        <v>107</v>
      </c>
      <c r="D114" s="124" t="s">
        <v>314</v>
      </c>
      <c r="E114" s="192">
        <f>77+143</f>
        <v>220</v>
      </c>
      <c r="F114" s="125">
        <f>ROUND(E114*Valores!$C$2,2)</f>
        <v>17071.27</v>
      </c>
      <c r="G114" s="192">
        <v>1995</v>
      </c>
      <c r="H114" s="125">
        <f>ROUND(G114*Valores!$C$2,2)</f>
        <v>154805.42000000001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58214.559999999998</v>
      </c>
      <c r="N114" s="125">
        <f t="shared" si="12"/>
        <v>0</v>
      </c>
      <c r="O114" s="125">
        <f>Valores!$C$14</f>
        <v>77265.73</v>
      </c>
      <c r="P114" s="125">
        <f>Valores!$D$5</f>
        <v>39667.43</v>
      </c>
      <c r="Q114" s="125">
        <f>Valores!$C$22</f>
        <v>35387.42</v>
      </c>
      <c r="R114" s="125">
        <f>IF($F$4="NO",Valores!$C$43,Valores!$C$43/2)</f>
        <v>24450.1</v>
      </c>
      <c r="S114" s="125">
        <f>Valores!$C$20</f>
        <v>36531.46</v>
      </c>
      <c r="T114" s="125">
        <f t="shared" si="19"/>
        <v>36531.46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Valores!$C$96</f>
        <v>54315.88</v>
      </c>
      <c r="AA114" s="125">
        <f>Valores!$C$25</f>
        <v>1622.32</v>
      </c>
      <c r="AB114" s="214">
        <v>0</v>
      </c>
      <c r="AC114" s="125">
        <f t="shared" si="13"/>
        <v>0</v>
      </c>
      <c r="AD114" s="125">
        <f>Valores!$C$26</f>
        <v>1622.32</v>
      </c>
      <c r="AE114" s="192">
        <v>0</v>
      </c>
      <c r="AF114" s="125">
        <f>ROUND(AE114*Valores!$C$2,2)</f>
        <v>0</v>
      </c>
      <c r="AG114" s="125">
        <f>ROUND(IF($F$4="NO",Valores!$C$64,Valores!$C$64/2),2)</f>
        <v>18547.32</v>
      </c>
      <c r="AH114" s="125">
        <f>SUM(F114,H114,J114,L114,M114,N114,O114,P114,Q114,R114,T114,U114,V114,X114,Y114,Z114,AA114,AC114,AD114,AF114,AG114)*Valores!$C$104</f>
        <v>51950.123</v>
      </c>
      <c r="AI114" s="125">
        <f t="shared" si="16"/>
        <v>571451.353</v>
      </c>
      <c r="AJ114" s="125">
        <f>Valores!$C$31</f>
        <v>35000</v>
      </c>
      <c r="AK114" s="125">
        <v>0</v>
      </c>
      <c r="AL114" s="125">
        <f>Valores!$C$89</f>
        <v>0</v>
      </c>
      <c r="AM114" s="125">
        <f>Valores!C$39*B114</f>
        <v>0</v>
      </c>
      <c r="AN114" s="125">
        <f>IF($F$3="NO",0,Valores!$C$57)</f>
        <v>0</v>
      </c>
      <c r="AO114" s="125">
        <f t="shared" si="14"/>
        <v>35000</v>
      </c>
      <c r="AP114" s="125">
        <f>AI114*Valores!$C$72</f>
        <v>-62859.648829999998</v>
      </c>
      <c r="AQ114" s="125">
        <f>IF(AI114&lt;Valores!$E$73,-0.02,IF(AI114&lt;Valores!$F$73,-0.03,-0.04))*AI114</f>
        <v>-11429.02706</v>
      </c>
      <c r="AR114" s="125">
        <f>AI114*Valores!$C$75</f>
        <v>-31429.824414999999</v>
      </c>
      <c r="AS114" s="125">
        <f>Valores!$C$102</f>
        <v>-1270.1600000000001</v>
      </c>
      <c r="AT114" s="125">
        <f>IF($F$5=0,Valores!$C$103,(Valores!$C$103+$F$5*(Valores!$C$103)))</f>
        <v>-3700</v>
      </c>
      <c r="AU114" s="125">
        <f t="shared" si="17"/>
        <v>495762.69269499998</v>
      </c>
      <c r="AV114" s="125">
        <f t="shared" si="11"/>
        <v>-62859.648829999998</v>
      </c>
      <c r="AW114" s="125">
        <f t="shared" si="18"/>
        <v>-11429.02706</v>
      </c>
      <c r="AX114" s="125">
        <f>AI114*Valores!$C$76</f>
        <v>-15429.186530999999</v>
      </c>
      <c r="AY114" s="125">
        <f>AI114*Valores!$C$77</f>
        <v>-1714.354059</v>
      </c>
      <c r="AZ114" s="125">
        <f t="shared" si="15"/>
        <v>515019.13652</v>
      </c>
      <c r="BA114" s="125">
        <f>AI114*Valores!$C$79</f>
        <v>91432.216480000003</v>
      </c>
      <c r="BB114" s="125">
        <f>AI114*Valores!$C$80</f>
        <v>40001.594710000005</v>
      </c>
      <c r="BC114" s="125">
        <f>AI114*Valores!$C$81</f>
        <v>5714.5135300000002</v>
      </c>
      <c r="BD114" s="125">
        <f>AI114*Valores!$C$83</f>
        <v>20000.797355000002</v>
      </c>
      <c r="BE114" s="125">
        <f>AI114*Valores!$C$85</f>
        <v>30858.373061999999</v>
      </c>
      <c r="BF114" s="125">
        <f>AI114*Valores!$C$84</f>
        <v>3428.708118</v>
      </c>
      <c r="BG114" s="126"/>
      <c r="BH114" s="126">
        <v>30</v>
      </c>
      <c r="BI114" s="123" t="s">
        <v>4</v>
      </c>
    </row>
    <row r="115" spans="1:61" s="110" customFormat="1" ht="11.25" customHeight="1" x14ac:dyDescent="0.15">
      <c r="A115" s="123" t="s">
        <v>315</v>
      </c>
      <c r="B115" s="123">
        <v>1</v>
      </c>
      <c r="C115" s="126">
        <v>108</v>
      </c>
      <c r="D115" s="124" t="s">
        <v>316</v>
      </c>
      <c r="E115" s="192">
        <f>72+115</f>
        <v>187</v>
      </c>
      <c r="F115" s="125">
        <f>ROUND(E115*Valores!$C$2,2)</f>
        <v>14510.58</v>
      </c>
      <c r="G115" s="192">
        <v>1704</v>
      </c>
      <c r="H115" s="125">
        <f>ROUND(G115*Valores!$C$2,2)</f>
        <v>132224.78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51929.23</v>
      </c>
      <c r="N115" s="125">
        <f t="shared" si="12"/>
        <v>0</v>
      </c>
      <c r="O115" s="125">
        <f>Valores!$C$14</f>
        <v>77265.73</v>
      </c>
      <c r="P115" s="125">
        <f>Valores!$D$5</f>
        <v>39667.43</v>
      </c>
      <c r="Q115" s="125">
        <f>Valores!$C$22</f>
        <v>35387.42</v>
      </c>
      <c r="R115" s="125">
        <f>IF($F$4="NO",Valores!$C$43,Valores!$C$43/2)</f>
        <v>24450.1</v>
      </c>
      <c r="S115" s="125">
        <f>Valores!$C$20</f>
        <v>36531.46</v>
      </c>
      <c r="T115" s="125">
        <f t="shared" si="19"/>
        <v>36531.46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Valores!$C$96</f>
        <v>54315.88</v>
      </c>
      <c r="AA115" s="125">
        <f>Valores!$C$25</f>
        <v>1622.32</v>
      </c>
      <c r="AB115" s="214">
        <v>0</v>
      </c>
      <c r="AC115" s="125">
        <f t="shared" si="13"/>
        <v>0</v>
      </c>
      <c r="AD115" s="125">
        <f>Valores!$C$26</f>
        <v>1622.32</v>
      </c>
      <c r="AE115" s="192">
        <v>0</v>
      </c>
      <c r="AF115" s="125">
        <f>ROUND(AE115*Valores!$C$2,2)</f>
        <v>0</v>
      </c>
      <c r="AG115" s="125">
        <f>ROUND(IF($F$4="NO",Valores!$C$64,Valores!$C$64/2),2)</f>
        <v>18547.32</v>
      </c>
      <c r="AH115" s="125">
        <f>SUM(F115,H115,J115,L115,M115,N115,O115,P115,Q115,R115,T115,U115,V115,X115,Y115,Z115,AA115,AC115,AD115,AF115,AG115)*Valores!$C$104</f>
        <v>48807.457000000002</v>
      </c>
      <c r="AI115" s="125">
        <f t="shared" si="16"/>
        <v>536882.027</v>
      </c>
      <c r="AJ115" s="125">
        <f>Valores!$C$31</f>
        <v>35000</v>
      </c>
      <c r="AK115" s="125">
        <v>0</v>
      </c>
      <c r="AL115" s="125">
        <f>Valores!$C$89</f>
        <v>0</v>
      </c>
      <c r="AM115" s="125">
        <f>Valores!C$39*B115</f>
        <v>0</v>
      </c>
      <c r="AN115" s="125">
        <f>IF($F$3="NO",0,Valores!$C$57)</f>
        <v>0</v>
      </c>
      <c r="AO115" s="125">
        <f t="shared" si="14"/>
        <v>35000</v>
      </c>
      <c r="AP115" s="125">
        <f>AI115*Valores!$C$72</f>
        <v>-59057.022969999998</v>
      </c>
      <c r="AQ115" s="125">
        <f>IF(AI115&lt;Valores!$E$73,-0.02,IF(AI115&lt;Valores!$F$73,-0.03,-0.04))*AI115</f>
        <v>-10737.64054</v>
      </c>
      <c r="AR115" s="125">
        <f>AI115*Valores!$C$75</f>
        <v>-29528.511484999999</v>
      </c>
      <c r="AS115" s="125">
        <f>Valores!$C$102</f>
        <v>-1270.1600000000001</v>
      </c>
      <c r="AT115" s="125">
        <f>IF($F$5=0,Valores!$C$103,(Valores!$C$103+$F$5*(Valores!$C$103)))</f>
        <v>-3700</v>
      </c>
      <c r="AU115" s="125">
        <f t="shared" si="17"/>
        <v>467588.69200500002</v>
      </c>
      <c r="AV115" s="125">
        <f t="shared" si="11"/>
        <v>-59057.022969999998</v>
      </c>
      <c r="AW115" s="125">
        <f t="shared" si="18"/>
        <v>-10737.64054</v>
      </c>
      <c r="AX115" s="125">
        <f>AI115*Valores!$C$76</f>
        <v>-14495.814729</v>
      </c>
      <c r="AY115" s="125">
        <f>AI115*Valores!$C$77</f>
        <v>-1610.6460810000001</v>
      </c>
      <c r="AZ115" s="125">
        <f t="shared" si="15"/>
        <v>485980.90268</v>
      </c>
      <c r="BA115" s="125">
        <f>AI115*Valores!$C$79</f>
        <v>85901.124320000003</v>
      </c>
      <c r="BB115" s="125">
        <f>AI115*Valores!$C$80</f>
        <v>37581.741890000005</v>
      </c>
      <c r="BC115" s="125">
        <f>AI115*Valores!$C$81</f>
        <v>5368.8202700000002</v>
      </c>
      <c r="BD115" s="125">
        <f>AI115*Valores!$C$83</f>
        <v>18790.870945000002</v>
      </c>
      <c r="BE115" s="125">
        <f>AI115*Valores!$C$85</f>
        <v>28991.629457999999</v>
      </c>
      <c r="BF115" s="125">
        <f>AI115*Valores!$C$84</f>
        <v>3221.2921620000002</v>
      </c>
      <c r="BG115" s="126"/>
      <c r="BH115" s="126">
        <v>30</v>
      </c>
      <c r="BI115" s="123" t="s">
        <v>4</v>
      </c>
    </row>
    <row r="116" spans="1:61" s="110" customFormat="1" ht="11.25" customHeight="1" x14ac:dyDescent="0.15">
      <c r="A116" s="123" t="s">
        <v>317</v>
      </c>
      <c r="B116" s="123">
        <v>1</v>
      </c>
      <c r="C116" s="126">
        <v>109</v>
      </c>
      <c r="D116" s="124" t="s">
        <v>318</v>
      </c>
      <c r="E116" s="192">
        <f>67+94</f>
        <v>161</v>
      </c>
      <c r="F116" s="125">
        <f>ROUND(E116*Valores!$C$2,2)</f>
        <v>12493.07</v>
      </c>
      <c r="G116" s="192">
        <v>1480</v>
      </c>
      <c r="H116" s="125">
        <f>ROUND(G116*Valores!$C$2,2)</f>
        <v>114843.12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47079.44</v>
      </c>
      <c r="N116" s="125">
        <f t="shared" si="12"/>
        <v>0</v>
      </c>
      <c r="O116" s="125">
        <f>Valores!$C$14</f>
        <v>77265.73</v>
      </c>
      <c r="P116" s="125">
        <f>Valores!$D$5</f>
        <v>39667.43</v>
      </c>
      <c r="Q116" s="125">
        <f>Valores!$C$22</f>
        <v>35387.42</v>
      </c>
      <c r="R116" s="125">
        <f>IF($F$4="NO",Valores!$C$43,Valores!$C$43/2)</f>
        <v>24450.1</v>
      </c>
      <c r="S116" s="125">
        <f>Valores!$C$20</f>
        <v>36531.46</v>
      </c>
      <c r="T116" s="125">
        <f t="shared" si="19"/>
        <v>36531.46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Valores!$C$96</f>
        <v>54315.88</v>
      </c>
      <c r="AA116" s="125">
        <f>Valores!$C$25</f>
        <v>1622.32</v>
      </c>
      <c r="AB116" s="214">
        <v>0</v>
      </c>
      <c r="AC116" s="125">
        <f t="shared" si="13"/>
        <v>0</v>
      </c>
      <c r="AD116" s="125">
        <f>Valores!$C$26</f>
        <v>1622.32</v>
      </c>
      <c r="AE116" s="192">
        <v>0</v>
      </c>
      <c r="AF116" s="125">
        <f>ROUND(AE116*Valores!$C$2,2)</f>
        <v>0</v>
      </c>
      <c r="AG116" s="125">
        <f>ROUND(IF($F$4="NO",Valores!$C$64,Valores!$C$64/2),2)</f>
        <v>18547.32</v>
      </c>
      <c r="AH116" s="125">
        <f>SUM(F116,H116,J116,L116,M116,N116,O116,P116,Q116,R116,T116,U116,V116,X116,Y116,Z116,AA116,AC116,AD116,AF116,AG116)*Valores!$C$104</f>
        <v>46382.561000000002</v>
      </c>
      <c r="AI116" s="125">
        <f t="shared" si="16"/>
        <v>510208.17099999997</v>
      </c>
      <c r="AJ116" s="125">
        <f>Valores!$C$31</f>
        <v>35000</v>
      </c>
      <c r="AK116" s="125">
        <v>0</v>
      </c>
      <c r="AL116" s="125">
        <f>Valores!$C$89</f>
        <v>0</v>
      </c>
      <c r="AM116" s="125">
        <f>Valores!C$39*B116</f>
        <v>0</v>
      </c>
      <c r="AN116" s="125">
        <f>IF($F$3="NO",0,Valores!$C$57)</f>
        <v>0</v>
      </c>
      <c r="AO116" s="125">
        <f t="shared" si="14"/>
        <v>35000</v>
      </c>
      <c r="AP116" s="125">
        <f>AI116*Valores!$C$72</f>
        <v>-56122.898809999999</v>
      </c>
      <c r="AQ116" s="125">
        <f>IF(AI116&lt;Valores!$E$73,-0.02,IF(AI116&lt;Valores!$F$73,-0.03,-0.04))*AI116</f>
        <v>-10204.163419999999</v>
      </c>
      <c r="AR116" s="125">
        <f>AI116*Valores!$C$75</f>
        <v>-28061.449404999999</v>
      </c>
      <c r="AS116" s="125">
        <f>Valores!$C$102</f>
        <v>-1270.1600000000001</v>
      </c>
      <c r="AT116" s="125">
        <f>IF($F$5=0,Valores!$C$103,(Valores!$C$103+$F$5*(Valores!$C$103)))</f>
        <v>-3700</v>
      </c>
      <c r="AU116" s="125">
        <f t="shared" si="17"/>
        <v>445849.499365</v>
      </c>
      <c r="AV116" s="125">
        <f t="shared" si="11"/>
        <v>-56122.898809999999</v>
      </c>
      <c r="AW116" s="125">
        <f t="shared" si="18"/>
        <v>-10204.163419999999</v>
      </c>
      <c r="AX116" s="125">
        <f>AI116*Valores!$C$76</f>
        <v>-13775.620616999999</v>
      </c>
      <c r="AY116" s="125">
        <f>AI116*Valores!$C$77</f>
        <v>-1530.624513</v>
      </c>
      <c r="AZ116" s="125">
        <f t="shared" si="15"/>
        <v>463574.86364</v>
      </c>
      <c r="BA116" s="125">
        <f>AI116*Valores!$C$79</f>
        <v>81633.307359999992</v>
      </c>
      <c r="BB116" s="125">
        <f>AI116*Valores!$C$80</f>
        <v>35714.571970000005</v>
      </c>
      <c r="BC116" s="125">
        <f>AI116*Valores!$C$81</f>
        <v>5102.0817099999995</v>
      </c>
      <c r="BD116" s="125">
        <f>AI116*Valores!$C$83</f>
        <v>17857.285985000002</v>
      </c>
      <c r="BE116" s="125">
        <f>AI116*Valores!$C$85</f>
        <v>27551.241233999997</v>
      </c>
      <c r="BF116" s="125">
        <f>AI116*Valores!$C$84</f>
        <v>3061.249026</v>
      </c>
      <c r="BG116" s="126"/>
      <c r="BH116" s="126">
        <v>30</v>
      </c>
      <c r="BI116" s="123" t="s">
        <v>4</v>
      </c>
    </row>
    <row r="117" spans="1:61" s="110" customFormat="1" ht="11.25" customHeight="1" x14ac:dyDescent="0.15">
      <c r="A117" s="123" t="s">
        <v>319</v>
      </c>
      <c r="B117" s="123">
        <v>1</v>
      </c>
      <c r="C117" s="126">
        <v>110</v>
      </c>
      <c r="D117" s="124" t="s">
        <v>320</v>
      </c>
      <c r="E117" s="192">
        <f>1184+94</f>
        <v>1278</v>
      </c>
      <c r="F117" s="125">
        <f>ROUND(E117*Valores!$C$2,2)</f>
        <v>99168.58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40037.54</v>
      </c>
      <c r="N117" s="125">
        <f t="shared" si="12"/>
        <v>0</v>
      </c>
      <c r="O117" s="125">
        <f>Valores!$C$14</f>
        <v>77265.73</v>
      </c>
      <c r="P117" s="125">
        <f>Valores!$D$5</f>
        <v>39667.43</v>
      </c>
      <c r="Q117" s="125">
        <f>Valores!$C$22</f>
        <v>35387.42</v>
      </c>
      <c r="R117" s="125">
        <f>IF($F$4="NO",Valores!$C$43,Valores!$C$43/2)</f>
        <v>24450.1</v>
      </c>
      <c r="S117" s="125">
        <f>Valores!$C$20</f>
        <v>36531.46</v>
      </c>
      <c r="T117" s="125">
        <f t="shared" si="19"/>
        <v>36531.46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Valores!$C$96</f>
        <v>54315.88</v>
      </c>
      <c r="AA117" s="125">
        <f>Valores!$C$25</f>
        <v>1622.32</v>
      </c>
      <c r="AB117" s="214">
        <v>0</v>
      </c>
      <c r="AC117" s="125">
        <f t="shared" si="13"/>
        <v>0</v>
      </c>
      <c r="AD117" s="125">
        <f>Valores!$C$26</f>
        <v>1622.32</v>
      </c>
      <c r="AE117" s="192">
        <v>0</v>
      </c>
      <c r="AF117" s="125">
        <f>ROUND(AE117*Valores!$C$2,2)</f>
        <v>0</v>
      </c>
      <c r="AG117" s="125">
        <f>ROUND(IF($F$4="NO",Valores!$C$64,Valores!$C$64/2),2)</f>
        <v>18547.32</v>
      </c>
      <c r="AH117" s="125">
        <f>SUM(F117,H117,J117,L117,M117,N117,O117,P117,Q117,R117,T117,U117,V117,X117,Y117,Z117,AA117,AC117,AD117,AF117,AG117)*Valores!$C$104</f>
        <v>42861.61</v>
      </c>
      <c r="AI117" s="125">
        <f t="shared" si="16"/>
        <v>471477.70999999996</v>
      </c>
      <c r="AJ117" s="125">
        <f>Valores!$C$31</f>
        <v>35000</v>
      </c>
      <c r="AK117" s="125">
        <v>0</v>
      </c>
      <c r="AL117" s="125">
        <f>Valores!$C$89</f>
        <v>0</v>
      </c>
      <c r="AM117" s="125">
        <f>Valores!C$39*B117</f>
        <v>0</v>
      </c>
      <c r="AN117" s="125">
        <f>IF($F$3="NO",0,Valores!$C$57)</f>
        <v>0</v>
      </c>
      <c r="AO117" s="125">
        <f t="shared" si="14"/>
        <v>35000</v>
      </c>
      <c r="AP117" s="125">
        <f>AI117*Valores!$C$72</f>
        <v>-51862.548099999993</v>
      </c>
      <c r="AQ117" s="125">
        <f>IF(AI117&lt;Valores!$E$73,-0.02,IF(AI117&lt;Valores!$F$73,-0.03,-0.04))*AI117</f>
        <v>-9429.5541999999987</v>
      </c>
      <c r="AR117" s="125">
        <f>AI117*Valores!$C$75</f>
        <v>-25931.274049999996</v>
      </c>
      <c r="AS117" s="125">
        <f>Valores!$C$102</f>
        <v>-1270.1600000000001</v>
      </c>
      <c r="AT117" s="125">
        <f>IF($F$5=0,Valores!$C$103,(Valores!$C$103+$F$5*(Valores!$C$103)))</f>
        <v>-3700</v>
      </c>
      <c r="AU117" s="125">
        <f t="shared" si="17"/>
        <v>414284.17364999995</v>
      </c>
      <c r="AV117" s="125">
        <f t="shared" si="11"/>
        <v>-51862.548099999993</v>
      </c>
      <c r="AW117" s="125">
        <f t="shared" si="18"/>
        <v>-9429.5541999999987</v>
      </c>
      <c r="AX117" s="125">
        <f>AI117*Valores!$C$76</f>
        <v>-12729.898169999999</v>
      </c>
      <c r="AY117" s="125">
        <f>AI117*Valores!$C$77</f>
        <v>-1414.4331299999999</v>
      </c>
      <c r="AZ117" s="125">
        <f t="shared" si="15"/>
        <v>431041.27639999997</v>
      </c>
      <c r="BA117" s="125">
        <f>AI117*Valores!$C$79</f>
        <v>75436.433599999989</v>
      </c>
      <c r="BB117" s="125">
        <f>AI117*Valores!$C$80</f>
        <v>33003.439700000003</v>
      </c>
      <c r="BC117" s="125">
        <f>AI117*Valores!$C$81</f>
        <v>4714.7770999999993</v>
      </c>
      <c r="BD117" s="125">
        <f>AI117*Valores!$C$83</f>
        <v>16501.719850000001</v>
      </c>
      <c r="BE117" s="125">
        <f>AI117*Valores!$C$85</f>
        <v>25459.796339999997</v>
      </c>
      <c r="BF117" s="125">
        <f>AI117*Valores!$C$84</f>
        <v>2828.8662599999998</v>
      </c>
      <c r="BG117" s="126"/>
      <c r="BH117" s="126">
        <v>30</v>
      </c>
      <c r="BI117" s="123" t="s">
        <v>4</v>
      </c>
    </row>
    <row r="118" spans="1:61" s="110" customFormat="1" ht="11.25" customHeight="1" x14ac:dyDescent="0.15">
      <c r="A118" s="123" t="s">
        <v>321</v>
      </c>
      <c r="B118" s="123">
        <v>1</v>
      </c>
      <c r="C118" s="126">
        <v>111</v>
      </c>
      <c r="D118" s="124" t="s">
        <v>322</v>
      </c>
      <c r="E118" s="192">
        <v>77</v>
      </c>
      <c r="F118" s="125">
        <f>ROUND(E118*Valores!$C$2,2)</f>
        <v>5974.95</v>
      </c>
      <c r="G118" s="192">
        <v>2073</v>
      </c>
      <c r="H118" s="125">
        <f>ROUND(G118*Valores!$C$2,2)</f>
        <v>160857.96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57824.14</v>
      </c>
      <c r="N118" s="125">
        <f t="shared" si="12"/>
        <v>0</v>
      </c>
      <c r="O118" s="125">
        <f>Valores!$C$8</f>
        <v>97252.17</v>
      </c>
      <c r="P118" s="125">
        <f>Valores!$D$5</f>
        <v>39667.43</v>
      </c>
      <c r="Q118" s="125">
        <f>Valores!$C$22</f>
        <v>35387.42</v>
      </c>
      <c r="R118" s="125">
        <f>IF($F$4="NO",Valores!$C$45,Valores!$C$45/2)</f>
        <v>27554.83</v>
      </c>
      <c r="S118" s="125">
        <f>Valores!$C$19</f>
        <v>36908.81</v>
      </c>
      <c r="T118" s="125">
        <f t="shared" si="19"/>
        <v>36908.81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Valores!$C$96</f>
        <v>54315.88</v>
      </c>
      <c r="AA118" s="125">
        <f>Valores!$C$25</f>
        <v>1622.32</v>
      </c>
      <c r="AB118" s="214">
        <v>0</v>
      </c>
      <c r="AC118" s="125">
        <f t="shared" si="13"/>
        <v>0</v>
      </c>
      <c r="AD118" s="125">
        <f>Valores!$C$26</f>
        <v>1622.32</v>
      </c>
      <c r="AE118" s="192">
        <v>0</v>
      </c>
      <c r="AF118" s="125">
        <f>ROUND(AE118*Valores!$C$2,2)</f>
        <v>0</v>
      </c>
      <c r="AG118" s="125">
        <f>ROUND(IF($F$4="NO",Valores!$C$64,Valores!$C$64/2),2)</f>
        <v>18547.32</v>
      </c>
      <c r="AH118" s="125">
        <f>SUM(F118,H118,J118,L118,M118,N118,O118,P118,Q118,R118,T118,U118,V118,X118,Y118,Z118,AA118,AC118,AD118,AF118,AG118)*Valores!$C$104</f>
        <v>53753.554999999993</v>
      </c>
      <c r="AI118" s="125">
        <f t="shared" si="16"/>
        <v>591289.10499999998</v>
      </c>
      <c r="AJ118" s="125">
        <f>Valores!$C$31</f>
        <v>35000</v>
      </c>
      <c r="AK118" s="125">
        <v>0</v>
      </c>
      <c r="AL118" s="125">
        <f>Valores!$C$89</f>
        <v>0</v>
      </c>
      <c r="AM118" s="125">
        <f>Valores!C$39*B118</f>
        <v>0</v>
      </c>
      <c r="AN118" s="125">
        <f>IF($F$3="NO",0,Valores!$C$57)</f>
        <v>0</v>
      </c>
      <c r="AO118" s="125">
        <f t="shared" si="14"/>
        <v>35000</v>
      </c>
      <c r="AP118" s="125">
        <f>AI118*Valores!$C$72</f>
        <v>-65041.801549999996</v>
      </c>
      <c r="AQ118" s="125">
        <f>IF(AI118&lt;Valores!$E$73,-0.02,IF(AI118&lt;Valores!$F$73,-0.03,-0.04))*AI118</f>
        <v>-11825.7821</v>
      </c>
      <c r="AR118" s="125">
        <f>AI118*Valores!$C$75</f>
        <v>-32520.900774999998</v>
      </c>
      <c r="AS118" s="125">
        <f>Valores!$C$102</f>
        <v>-1270.1600000000001</v>
      </c>
      <c r="AT118" s="125">
        <f>IF($F$5=0,Valores!$C$103,(Valores!$C$103+$F$5*(Valores!$C$103)))</f>
        <v>-3700</v>
      </c>
      <c r="AU118" s="125">
        <f t="shared" si="17"/>
        <v>511930.46057499998</v>
      </c>
      <c r="AV118" s="125">
        <f t="shared" si="11"/>
        <v>-65041.801549999996</v>
      </c>
      <c r="AW118" s="125">
        <f t="shared" si="18"/>
        <v>-11825.7821</v>
      </c>
      <c r="AX118" s="125">
        <f>AI118*Valores!$C$76</f>
        <v>-15964.805834999999</v>
      </c>
      <c r="AY118" s="125">
        <f>AI118*Valores!$C$77</f>
        <v>-1773.867315</v>
      </c>
      <c r="AZ118" s="125">
        <f t="shared" si="15"/>
        <v>531682.84820000001</v>
      </c>
      <c r="BA118" s="125">
        <f>AI118*Valores!$C$79</f>
        <v>94606.256800000003</v>
      </c>
      <c r="BB118" s="125">
        <f>AI118*Valores!$C$80</f>
        <v>41390.237350000003</v>
      </c>
      <c r="BC118" s="125">
        <f>AI118*Valores!$C$81</f>
        <v>5912.8910500000002</v>
      </c>
      <c r="BD118" s="125">
        <f>AI118*Valores!$C$83</f>
        <v>20695.118675000002</v>
      </c>
      <c r="BE118" s="125">
        <f>AI118*Valores!$C$85</f>
        <v>31929.611669999998</v>
      </c>
      <c r="BF118" s="125">
        <f>AI118*Valores!$C$84</f>
        <v>3547.7346299999999</v>
      </c>
      <c r="BG118" s="126"/>
      <c r="BH118" s="126">
        <v>30</v>
      </c>
      <c r="BI118" s="123" t="s">
        <v>4</v>
      </c>
    </row>
    <row r="119" spans="1:61" s="110" customFormat="1" ht="11.25" customHeight="1" x14ac:dyDescent="0.15">
      <c r="A119" s="123" t="s">
        <v>323</v>
      </c>
      <c r="B119" s="123">
        <v>1</v>
      </c>
      <c r="C119" s="126">
        <v>112</v>
      </c>
      <c r="D119" s="124" t="s">
        <v>324</v>
      </c>
      <c r="E119" s="192">
        <v>77</v>
      </c>
      <c r="F119" s="125">
        <f>ROUND(E119*Valores!$C$2,2)</f>
        <v>5974.95</v>
      </c>
      <c r="G119" s="192">
        <v>2043</v>
      </c>
      <c r="H119" s="125">
        <f>ROUND(G119*Valores!$C$2,2)</f>
        <v>158530.06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57242.16</v>
      </c>
      <c r="N119" s="125">
        <f t="shared" si="12"/>
        <v>0</v>
      </c>
      <c r="O119" s="125">
        <f>Valores!$C$9</f>
        <v>97503.47</v>
      </c>
      <c r="P119" s="125">
        <f>Valores!$D$5</f>
        <v>39667.43</v>
      </c>
      <c r="Q119" s="125">
        <f>Valores!$C$22</f>
        <v>35387.42</v>
      </c>
      <c r="R119" s="125">
        <f>IF($F$4="NO",Valores!$C$45,Valores!$C$45/2)</f>
        <v>27554.83</v>
      </c>
      <c r="S119" s="125">
        <f>Valores!$C$19</f>
        <v>36908.81</v>
      </c>
      <c r="T119" s="125">
        <f t="shared" si="19"/>
        <v>36908.81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Valores!$C$96</f>
        <v>54315.88</v>
      </c>
      <c r="AA119" s="125">
        <f>Valores!$C$25</f>
        <v>1622.32</v>
      </c>
      <c r="AB119" s="214">
        <v>0</v>
      </c>
      <c r="AC119" s="125">
        <f t="shared" si="13"/>
        <v>0</v>
      </c>
      <c r="AD119" s="125">
        <f>Valores!$C$26</f>
        <v>1622.32</v>
      </c>
      <c r="AE119" s="192">
        <v>0</v>
      </c>
      <c r="AF119" s="125">
        <f>ROUND(AE119*Valores!$C$2,2)</f>
        <v>0</v>
      </c>
      <c r="AG119" s="125">
        <f>ROUND(IF($F$4="NO",Valores!$C$64,Valores!$C$64/2),2)</f>
        <v>18547.32</v>
      </c>
      <c r="AH119" s="125">
        <f>SUM(F119,H119,J119,L119,M119,N119,O119,P119,Q119,R119,T119,U119,V119,X119,Y119,Z119,AA119,AC119,AD119,AF119,AG119)*Valores!$C$104</f>
        <v>53487.697</v>
      </c>
      <c r="AI119" s="125">
        <f t="shared" si="16"/>
        <v>588364.66700000002</v>
      </c>
      <c r="AJ119" s="125">
        <f>Valores!$C$31</f>
        <v>35000</v>
      </c>
      <c r="AK119" s="125">
        <v>0</v>
      </c>
      <c r="AL119" s="125">
        <f>Valores!$C$89</f>
        <v>0</v>
      </c>
      <c r="AM119" s="125">
        <f>Valores!C$39*B119</f>
        <v>0</v>
      </c>
      <c r="AN119" s="125">
        <f>IF($F$3="NO",0,Valores!$C$57)</f>
        <v>0</v>
      </c>
      <c r="AO119" s="125">
        <f t="shared" si="14"/>
        <v>35000</v>
      </c>
      <c r="AP119" s="125">
        <f>AI119*Valores!$C$72</f>
        <v>-64720.113369999999</v>
      </c>
      <c r="AQ119" s="125">
        <f>IF(AI119&lt;Valores!$E$73,-0.02,IF(AI119&lt;Valores!$F$73,-0.03,-0.04))*AI119</f>
        <v>-11767.29334</v>
      </c>
      <c r="AR119" s="125">
        <f>AI119*Valores!$C$75</f>
        <v>-32360.056685</v>
      </c>
      <c r="AS119" s="125">
        <f>Valores!$C$102</f>
        <v>-1270.1600000000001</v>
      </c>
      <c r="AT119" s="125">
        <f>IF($F$5=0,Valores!$C$103,(Valores!$C$103+$F$5*(Valores!$C$103)))</f>
        <v>-3700</v>
      </c>
      <c r="AU119" s="125">
        <f t="shared" si="17"/>
        <v>509547.04360500001</v>
      </c>
      <c r="AV119" s="125">
        <f t="shared" si="11"/>
        <v>-64720.113369999999</v>
      </c>
      <c r="AW119" s="125">
        <f t="shared" si="18"/>
        <v>-11767.29334</v>
      </c>
      <c r="AX119" s="125">
        <f>AI119*Valores!$C$76</f>
        <v>-15885.846009000001</v>
      </c>
      <c r="AY119" s="125">
        <f>AI119*Valores!$C$77</f>
        <v>-1765.0940010000002</v>
      </c>
      <c r="AZ119" s="125">
        <f t="shared" si="15"/>
        <v>529226.32027999999</v>
      </c>
      <c r="BA119" s="125">
        <f>AI119*Valores!$C$79</f>
        <v>94138.346720000001</v>
      </c>
      <c r="BB119" s="125">
        <f>AI119*Valores!$C$80</f>
        <v>41185.526690000006</v>
      </c>
      <c r="BC119" s="125">
        <f>AI119*Valores!$C$81</f>
        <v>5883.6466700000001</v>
      </c>
      <c r="BD119" s="125">
        <f>AI119*Valores!$C$83</f>
        <v>20592.763345000003</v>
      </c>
      <c r="BE119" s="125">
        <f>AI119*Valores!$C$85</f>
        <v>31771.692018000002</v>
      </c>
      <c r="BF119" s="125">
        <f>AI119*Valores!$C$84</f>
        <v>3530.1880020000003</v>
      </c>
      <c r="BG119" s="126"/>
      <c r="BH119" s="126">
        <v>30</v>
      </c>
      <c r="BI119" s="123" t="s">
        <v>4</v>
      </c>
    </row>
    <row r="120" spans="1:61" s="110" customFormat="1" ht="11.25" customHeight="1" x14ac:dyDescent="0.15">
      <c r="A120" s="123" t="s">
        <v>325</v>
      </c>
      <c r="B120" s="123">
        <v>1</v>
      </c>
      <c r="C120" s="126">
        <v>113</v>
      </c>
      <c r="D120" s="124" t="s">
        <v>326</v>
      </c>
      <c r="E120" s="192">
        <v>76</v>
      </c>
      <c r="F120" s="125">
        <f>ROUND(E120*Valores!$C$2,2)</f>
        <v>5897.35</v>
      </c>
      <c r="G120" s="192">
        <v>1954</v>
      </c>
      <c r="H120" s="125">
        <f>ROUND(G120*Valores!$C$2,2)</f>
        <v>151623.95000000001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55496.24</v>
      </c>
      <c r="N120" s="125">
        <f t="shared" si="12"/>
        <v>0</v>
      </c>
      <c r="O120" s="125">
        <f>Valores!$C$9</f>
        <v>97503.47</v>
      </c>
      <c r="P120" s="125">
        <f>Valores!$D$5</f>
        <v>39667.43</v>
      </c>
      <c r="Q120" s="125">
        <f>Valores!$C$22</f>
        <v>35387.42</v>
      </c>
      <c r="R120" s="125">
        <f>IF($F$4="NO",Valores!$C$45,Valores!$C$45/2)</f>
        <v>27554.83</v>
      </c>
      <c r="S120" s="125">
        <f>Valores!$C$19</f>
        <v>36908.81</v>
      </c>
      <c r="T120" s="125">
        <f t="shared" si="19"/>
        <v>36908.81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Valores!$C$96</f>
        <v>54315.88</v>
      </c>
      <c r="AA120" s="125">
        <f>Valores!$C$25</f>
        <v>1622.32</v>
      </c>
      <c r="AB120" s="214">
        <v>0</v>
      </c>
      <c r="AC120" s="125">
        <f t="shared" si="13"/>
        <v>0</v>
      </c>
      <c r="AD120" s="125">
        <f>Valores!$C$26</f>
        <v>1622.32</v>
      </c>
      <c r="AE120" s="192">
        <v>0</v>
      </c>
      <c r="AF120" s="125">
        <f>ROUND(AE120*Valores!$C$2,2)</f>
        <v>0</v>
      </c>
      <c r="AG120" s="125">
        <f>ROUND(IF($F$4="NO",Valores!$C$64,Valores!$C$64/2),2)</f>
        <v>18547.32</v>
      </c>
      <c r="AH120" s="125">
        <f>SUM(F120,H120,J120,L120,M120,N120,O120,P120,Q120,R120,T120,U120,V120,X120,Y120,Z120,AA120,AC120,AD120,AF120,AG120)*Valores!$C$104</f>
        <v>52614.733999999997</v>
      </c>
      <c r="AI120" s="125">
        <f t="shared" si="16"/>
        <v>578762.07400000002</v>
      </c>
      <c r="AJ120" s="125">
        <f>Valores!$C$31</f>
        <v>35000</v>
      </c>
      <c r="AK120" s="125">
        <v>0</v>
      </c>
      <c r="AL120" s="125">
        <f>Valores!$C$89</f>
        <v>0</v>
      </c>
      <c r="AM120" s="125">
        <f>Valores!C$39*B120</f>
        <v>0</v>
      </c>
      <c r="AN120" s="125">
        <f>IF($F$3="NO",0,Valores!$C$57)</f>
        <v>0</v>
      </c>
      <c r="AO120" s="125">
        <f t="shared" si="14"/>
        <v>35000</v>
      </c>
      <c r="AP120" s="125">
        <f>AI120*Valores!$C$72</f>
        <v>-63663.828140000005</v>
      </c>
      <c r="AQ120" s="125">
        <f>IF(AI120&lt;Valores!$E$73,-0.02,IF(AI120&lt;Valores!$F$73,-0.03,-0.04))*AI120</f>
        <v>-11575.241480000001</v>
      </c>
      <c r="AR120" s="125">
        <f>AI120*Valores!$C$75</f>
        <v>-31831.914070000003</v>
      </c>
      <c r="AS120" s="125">
        <f>Valores!$C$102</f>
        <v>-1270.1600000000001</v>
      </c>
      <c r="AT120" s="125">
        <f>IF($F$5=0,Valores!$C$103,(Valores!$C$103+$F$5*(Valores!$C$103)))</f>
        <v>-3700</v>
      </c>
      <c r="AU120" s="125">
        <f t="shared" si="17"/>
        <v>501720.93031000003</v>
      </c>
      <c r="AV120" s="125">
        <f t="shared" si="11"/>
        <v>-63663.828140000005</v>
      </c>
      <c r="AW120" s="125">
        <f t="shared" si="18"/>
        <v>-11575.241480000001</v>
      </c>
      <c r="AX120" s="125">
        <f>AI120*Valores!$C$76</f>
        <v>-15626.575998</v>
      </c>
      <c r="AY120" s="125">
        <f>AI120*Valores!$C$77</f>
        <v>-1736.2862220000002</v>
      </c>
      <c r="AZ120" s="125">
        <f t="shared" si="15"/>
        <v>521160.14216000005</v>
      </c>
      <c r="BA120" s="125">
        <f>AI120*Valores!$C$79</f>
        <v>92601.931840000005</v>
      </c>
      <c r="BB120" s="125">
        <f>AI120*Valores!$C$80</f>
        <v>40513.345180000004</v>
      </c>
      <c r="BC120" s="125">
        <f>AI120*Valores!$C$81</f>
        <v>5787.6207400000003</v>
      </c>
      <c r="BD120" s="125">
        <f>AI120*Valores!$C$83</f>
        <v>20256.672590000002</v>
      </c>
      <c r="BE120" s="125">
        <f>AI120*Valores!$C$85</f>
        <v>31253.151996000001</v>
      </c>
      <c r="BF120" s="125">
        <f>AI120*Valores!$C$84</f>
        <v>3472.5724440000004</v>
      </c>
      <c r="BG120" s="126"/>
      <c r="BH120" s="126">
        <v>30</v>
      </c>
      <c r="BI120" s="123" t="s">
        <v>4</v>
      </c>
    </row>
    <row r="121" spans="1:61" s="110" customFormat="1" ht="11.25" customHeight="1" x14ac:dyDescent="0.15">
      <c r="A121" s="123" t="s">
        <v>327</v>
      </c>
      <c r="B121" s="123">
        <v>1</v>
      </c>
      <c r="C121" s="126">
        <v>114</v>
      </c>
      <c r="D121" s="124" t="s">
        <v>328</v>
      </c>
      <c r="E121" s="192">
        <v>274</v>
      </c>
      <c r="F121" s="125">
        <f>ROUND(E121*Valores!$C$2,2)</f>
        <v>21261.5</v>
      </c>
      <c r="G121" s="192">
        <v>1163</v>
      </c>
      <c r="H121" s="125">
        <f>ROUND(G121*Valores!$C$2,2)</f>
        <v>90244.96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43992.53</v>
      </c>
      <c r="N121" s="125">
        <f t="shared" si="12"/>
        <v>0</v>
      </c>
      <c r="O121" s="125">
        <f>Valores!$C$9</f>
        <v>97503.47</v>
      </c>
      <c r="P121" s="125">
        <f>Valores!$D$5</f>
        <v>39667.43</v>
      </c>
      <c r="Q121" s="125">
        <f>Valores!$C$22</f>
        <v>35387.42</v>
      </c>
      <c r="R121" s="125">
        <f>IF($F$4="NO",Valores!$C$45,Valores!$C$45/2)</f>
        <v>27554.83</v>
      </c>
      <c r="S121" s="125">
        <f>Valores!$C$19</f>
        <v>36908.81</v>
      </c>
      <c r="T121" s="125">
        <f t="shared" si="19"/>
        <v>36908.81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Valores!$C$96</f>
        <v>54315.88</v>
      </c>
      <c r="AA121" s="125">
        <f>Valores!$C$25</f>
        <v>1622.32</v>
      </c>
      <c r="AB121" s="214">
        <v>0</v>
      </c>
      <c r="AC121" s="125">
        <f t="shared" si="13"/>
        <v>0</v>
      </c>
      <c r="AD121" s="125">
        <f>Valores!$C$26</f>
        <v>1622.32</v>
      </c>
      <c r="AE121" s="192">
        <v>0</v>
      </c>
      <c r="AF121" s="125">
        <f>ROUND(AE121*Valores!$C$2,2)</f>
        <v>0</v>
      </c>
      <c r="AG121" s="125">
        <f>ROUND(IF($F$4="NO",Valores!$C$64,Valores!$C$64/2),2)</f>
        <v>18547.32</v>
      </c>
      <c r="AH121" s="125">
        <f>SUM(F121,H121,J121,L121,M121,N121,O121,P121,Q121,R121,T121,U121,V121,X121,Y121,Z121,AA121,AC121,AD121,AF121,AG121)*Valores!$C$104</f>
        <v>46862.879000000008</v>
      </c>
      <c r="AI121" s="125">
        <f t="shared" si="16"/>
        <v>515491.66900000005</v>
      </c>
      <c r="AJ121" s="125">
        <f>Valores!$C$31</f>
        <v>35000</v>
      </c>
      <c r="AK121" s="125">
        <v>0</v>
      </c>
      <c r="AL121" s="125">
        <f>Valores!$C$89</f>
        <v>0</v>
      </c>
      <c r="AM121" s="125">
        <f>Valores!C$39*B121</f>
        <v>0</v>
      </c>
      <c r="AN121" s="125">
        <f>IF($F$3="NO",0,Valores!$C$57)</f>
        <v>0</v>
      </c>
      <c r="AO121" s="125">
        <f t="shared" si="14"/>
        <v>35000</v>
      </c>
      <c r="AP121" s="125">
        <f>AI121*Valores!$C$72</f>
        <v>-56704.083590000009</v>
      </c>
      <c r="AQ121" s="125">
        <f>IF(AI121&lt;Valores!$E$73,-0.02,IF(AI121&lt;Valores!$F$73,-0.03,-0.04))*AI121</f>
        <v>-10309.833380000002</v>
      </c>
      <c r="AR121" s="125">
        <f>AI121*Valores!$C$75</f>
        <v>-28352.041795000005</v>
      </c>
      <c r="AS121" s="125">
        <f>Valores!$C$102</f>
        <v>-1270.1600000000001</v>
      </c>
      <c r="AT121" s="125">
        <f>IF($F$5=0,Valores!$C$103,(Valores!$C$103+$F$5*(Valores!$C$103)))</f>
        <v>-3700</v>
      </c>
      <c r="AU121" s="125">
        <f t="shared" si="17"/>
        <v>450155.55023500003</v>
      </c>
      <c r="AV121" s="125">
        <f t="shared" si="11"/>
        <v>-56704.083590000009</v>
      </c>
      <c r="AW121" s="125">
        <f t="shared" si="18"/>
        <v>-10309.833380000002</v>
      </c>
      <c r="AX121" s="125">
        <f>AI121*Valores!$C$76</f>
        <v>-13918.275063000001</v>
      </c>
      <c r="AY121" s="125">
        <f>AI121*Valores!$C$77</f>
        <v>-1546.4750070000002</v>
      </c>
      <c r="AZ121" s="125">
        <f t="shared" si="15"/>
        <v>468013.00196000002</v>
      </c>
      <c r="BA121" s="125">
        <f>AI121*Valores!$C$79</f>
        <v>82478.667040000015</v>
      </c>
      <c r="BB121" s="125">
        <f>AI121*Valores!$C$80</f>
        <v>36084.416830000009</v>
      </c>
      <c r="BC121" s="125">
        <f>AI121*Valores!$C$81</f>
        <v>5154.9166900000009</v>
      </c>
      <c r="BD121" s="125">
        <f>AI121*Valores!$C$83</f>
        <v>18042.208415000005</v>
      </c>
      <c r="BE121" s="125">
        <f>AI121*Valores!$C$85</f>
        <v>27836.550126000002</v>
      </c>
      <c r="BF121" s="125">
        <f>AI121*Valores!$C$84</f>
        <v>3092.9500140000005</v>
      </c>
      <c r="BG121" s="126"/>
      <c r="BH121" s="126">
        <v>30</v>
      </c>
      <c r="BI121" s="123" t="s">
        <v>4</v>
      </c>
    </row>
    <row r="122" spans="1:61" s="110" customFormat="1" ht="11.25" customHeight="1" x14ac:dyDescent="0.15">
      <c r="A122" s="123" t="s">
        <v>329</v>
      </c>
      <c r="B122" s="123">
        <v>1</v>
      </c>
      <c r="C122" s="126">
        <v>115</v>
      </c>
      <c r="D122" s="124" t="s">
        <v>330</v>
      </c>
      <c r="E122" s="192">
        <v>2800</v>
      </c>
      <c r="F122" s="125">
        <f>ROUND(E122*Valores!$C$2,2)</f>
        <v>217270.76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71891.39</v>
      </c>
      <c r="N122" s="125">
        <f t="shared" si="12"/>
        <v>0</v>
      </c>
      <c r="O122" s="125">
        <f>Valores!$C$16</f>
        <v>67049.36</v>
      </c>
      <c r="P122" s="125">
        <f>Valores!$D$5</f>
        <v>39667.43</v>
      </c>
      <c r="Q122" s="125">
        <f>Valores!$C$22</f>
        <v>35387.42</v>
      </c>
      <c r="R122" s="125">
        <f>IF($F$4="NO",Valores!$C$47,Valores!$C$47/2)</f>
        <v>33763.35</v>
      </c>
      <c r="S122" s="125">
        <f>Valores!$C$20</f>
        <v>36531.46</v>
      </c>
      <c r="T122" s="125">
        <f t="shared" si="19"/>
        <v>36531.46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Valores!$C$96</f>
        <v>54315.88</v>
      </c>
      <c r="AA122" s="125">
        <f>Valores!$C$25</f>
        <v>1622.32</v>
      </c>
      <c r="AB122" s="214">
        <v>0</v>
      </c>
      <c r="AC122" s="125">
        <f t="shared" si="13"/>
        <v>0</v>
      </c>
      <c r="AD122" s="125">
        <f>Valores!$C$26</f>
        <v>1622.32</v>
      </c>
      <c r="AE122" s="192">
        <v>0</v>
      </c>
      <c r="AF122" s="125">
        <f>ROUND(AE122*Valores!$C$2,2)</f>
        <v>0</v>
      </c>
      <c r="AG122" s="125">
        <f>ROUND(IF($F$4="NO",Valores!$C$64,Valores!$C$64/2),2)</f>
        <v>18547.32</v>
      </c>
      <c r="AH122" s="125">
        <f>SUM(F122,H122,J122,L122,M122,N122,O122,P122,Q122,R122,T122,U122,V122,X122,Y122,Z122,AA122,AC122,AD122,AF122,AG122)*Valores!$C$104</f>
        <v>57766.900999999983</v>
      </c>
      <c r="AI122" s="125">
        <f t="shared" si="16"/>
        <v>635435.91099999973</v>
      </c>
      <c r="AJ122" s="125">
        <f>Valores!$C$32</f>
        <v>70000</v>
      </c>
      <c r="AK122" s="125">
        <v>0</v>
      </c>
      <c r="AL122" s="125">
        <f>Valores!$C$89</f>
        <v>0</v>
      </c>
      <c r="AM122" s="125">
        <f>Valores!C$39*B122</f>
        <v>0</v>
      </c>
      <c r="AN122" s="125">
        <f>IF($F$3="NO",0,Valores!$C$56)</f>
        <v>0</v>
      </c>
      <c r="AO122" s="125">
        <f t="shared" si="14"/>
        <v>70000</v>
      </c>
      <c r="AP122" s="125">
        <f>AI122*Valores!$C$72</f>
        <v>-69897.950209999966</v>
      </c>
      <c r="AQ122" s="125">
        <f>IF(AI122&lt;Valores!$E$73,-0.02,IF(AI122&lt;Valores!$F$73,-0.03,-0.04))*AI122</f>
        <v>-12708.718219999995</v>
      </c>
      <c r="AR122" s="125">
        <f>AI122*Valores!$C$75</f>
        <v>-34948.975104999983</v>
      </c>
      <c r="AS122" s="125">
        <f>Valores!$C$102</f>
        <v>-1270.1600000000001</v>
      </c>
      <c r="AT122" s="125">
        <f>IF($F$5=0,Valores!$C$103,(Valores!$C$103+$F$5*(Valores!$C$103)))</f>
        <v>-3700</v>
      </c>
      <c r="AU122" s="125">
        <f t="shared" si="17"/>
        <v>582910.10746499978</v>
      </c>
      <c r="AV122" s="125">
        <f t="shared" si="11"/>
        <v>-69897.950209999966</v>
      </c>
      <c r="AW122" s="125">
        <f t="shared" si="18"/>
        <v>-12708.718219999995</v>
      </c>
      <c r="AX122" s="125">
        <f>AI122*Valores!$C$76</f>
        <v>-17156.769596999991</v>
      </c>
      <c r="AY122" s="125">
        <f>AI122*Valores!$C$77</f>
        <v>-1906.3077329999992</v>
      </c>
      <c r="AZ122" s="125">
        <f t="shared" si="15"/>
        <v>603766.16523999977</v>
      </c>
      <c r="BA122" s="125">
        <f>AI122*Valores!$C$79</f>
        <v>101669.74575999996</v>
      </c>
      <c r="BB122" s="125">
        <f>AI122*Valores!$C$80</f>
        <v>44480.513769999983</v>
      </c>
      <c r="BC122" s="125">
        <f>AI122*Valores!$C$81</f>
        <v>6354.3591099999976</v>
      </c>
      <c r="BD122" s="125">
        <f>AI122*Valores!$C$83</f>
        <v>22240.256884999992</v>
      </c>
      <c r="BE122" s="125">
        <f>AI122*Valores!$C$85</f>
        <v>34313.539193999983</v>
      </c>
      <c r="BF122" s="125">
        <f>AI122*Valores!$C$84</f>
        <v>3812.6154659999984</v>
      </c>
      <c r="BG122" s="126"/>
      <c r="BH122" s="126"/>
      <c r="BI122" s="123" t="s">
        <v>4</v>
      </c>
    </row>
    <row r="123" spans="1:61" s="110" customFormat="1" ht="11.25" customHeight="1" x14ac:dyDescent="0.15">
      <c r="A123" s="123" t="s">
        <v>331</v>
      </c>
      <c r="B123" s="123">
        <v>1</v>
      </c>
      <c r="C123" s="126">
        <v>116</v>
      </c>
      <c r="D123" s="124" t="s">
        <v>332</v>
      </c>
      <c r="E123" s="192">
        <v>2850</v>
      </c>
      <c r="F123" s="125">
        <f>ROUND(E123*Valores!$C$2,2)</f>
        <v>221150.6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74786.98</v>
      </c>
      <c r="N123" s="125">
        <f t="shared" si="12"/>
        <v>0</v>
      </c>
      <c r="O123" s="125">
        <f>Valores!$C$9</f>
        <v>97503.47</v>
      </c>
      <c r="P123" s="125">
        <f>Valores!$D$5</f>
        <v>39667.43</v>
      </c>
      <c r="Q123" s="125">
        <f>Valores!$C$22</f>
        <v>35387.42</v>
      </c>
      <c r="R123" s="125">
        <f>IF($F$4="NO",Valores!$C$48,Valores!$C$48/2)</f>
        <v>41465.839999999997</v>
      </c>
      <c r="S123" s="125">
        <f>Valores!$C$20</f>
        <v>36531.46</v>
      </c>
      <c r="T123" s="125">
        <f t="shared" si="19"/>
        <v>36531.46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Valores!$C$98</f>
        <v>108631.74</v>
      </c>
      <c r="AA123" s="125">
        <f>Valores!$C$25</f>
        <v>1622.32</v>
      </c>
      <c r="AB123" s="214">
        <v>0</v>
      </c>
      <c r="AC123" s="125">
        <f t="shared" si="13"/>
        <v>0</v>
      </c>
      <c r="AD123" s="125">
        <f>Valores!$C$26</f>
        <v>1622.32</v>
      </c>
      <c r="AE123" s="192">
        <v>0</v>
      </c>
      <c r="AF123" s="125">
        <f>ROUND(AE123*Valores!$C$2,2)</f>
        <v>0</v>
      </c>
      <c r="AG123" s="125">
        <f>ROUND(IF($F$4="NO",Valores!$C$64,Valores!$C$64/2),2)</f>
        <v>18547.32</v>
      </c>
      <c r="AH123" s="125">
        <f>SUM(F123,H123,J123,L123,M123,N123,O123,P123,Q123,R123,T123,U123,V123,X123,Y123,Z123,AA123,AC123,AD123,AF123,AG123)*Valores!$C$104</f>
        <v>67691.689999999988</v>
      </c>
      <c r="AI123" s="125">
        <f t="shared" si="16"/>
        <v>744608.58999999973</v>
      </c>
      <c r="AJ123" s="125">
        <f>Valores!$C$32</f>
        <v>70000</v>
      </c>
      <c r="AK123" s="125">
        <v>0</v>
      </c>
      <c r="AL123" s="125">
        <f>Valores!$C$91</f>
        <v>0</v>
      </c>
      <c r="AM123" s="125">
        <f>Valores!C$39*B123</f>
        <v>0</v>
      </c>
      <c r="AN123" s="125">
        <f>IF($F$3="NO",0,Valores!$C$56)</f>
        <v>0</v>
      </c>
      <c r="AO123" s="125">
        <f t="shared" si="14"/>
        <v>70000</v>
      </c>
      <c r="AP123" s="125">
        <f>AI123*Valores!$C$72</f>
        <v>-81906.944899999973</v>
      </c>
      <c r="AQ123" s="125">
        <f>IF(AI123&lt;Valores!$E$73,-0.02,IF(AI123&lt;Valores!$F$73,-0.03,-0.04))*AI123</f>
        <v>-14892.171799999995</v>
      </c>
      <c r="AR123" s="125">
        <f>AI123*Valores!$C$75</f>
        <v>-40953.472449999987</v>
      </c>
      <c r="AS123" s="125">
        <f>Valores!$C$102</f>
        <v>-1270.1600000000001</v>
      </c>
      <c r="AT123" s="125">
        <f>IF($F$5=0,Valores!$C$103,(Valores!$C$103+$F$5*(Valores!$C$103)))</f>
        <v>-3700</v>
      </c>
      <c r="AU123" s="125">
        <f t="shared" si="17"/>
        <v>671885.8408499998</v>
      </c>
      <c r="AV123" s="125">
        <f t="shared" si="11"/>
        <v>-81906.944899999973</v>
      </c>
      <c r="AW123" s="125">
        <f t="shared" si="18"/>
        <v>-14892.171799999995</v>
      </c>
      <c r="AX123" s="125">
        <f>AI123*Valores!$C$76</f>
        <v>-20104.431929999992</v>
      </c>
      <c r="AY123" s="125">
        <f>AI123*Valores!$C$77</f>
        <v>-2233.8257699999995</v>
      </c>
      <c r="AZ123" s="125">
        <f t="shared" si="15"/>
        <v>695471.21559999976</v>
      </c>
      <c r="BA123" s="125">
        <f>AI123*Valores!$C$79</f>
        <v>119137.37439999996</v>
      </c>
      <c r="BB123" s="125">
        <f>AI123*Valores!$C$80</f>
        <v>52122.601299999988</v>
      </c>
      <c r="BC123" s="125">
        <f>AI123*Valores!$C$81</f>
        <v>7446.0858999999973</v>
      </c>
      <c r="BD123" s="125">
        <f>AI123*Valores!$C$83</f>
        <v>26061.300649999994</v>
      </c>
      <c r="BE123" s="125">
        <f>AI123*Valores!$C$85</f>
        <v>40208.863859999983</v>
      </c>
      <c r="BF123" s="125">
        <f>AI123*Valores!$C$84</f>
        <v>4467.6515399999989</v>
      </c>
      <c r="BG123" s="126"/>
      <c r="BH123" s="126">
        <v>40</v>
      </c>
      <c r="BI123" s="123" t="s">
        <v>4</v>
      </c>
    </row>
    <row r="124" spans="1:61" s="110" customFormat="1" ht="11.25" customHeight="1" x14ac:dyDescent="0.15">
      <c r="A124" s="123" t="s">
        <v>333</v>
      </c>
      <c r="B124" s="123">
        <v>1</v>
      </c>
      <c r="C124" s="126">
        <v>117</v>
      </c>
      <c r="D124" s="124" t="s">
        <v>334</v>
      </c>
      <c r="E124" s="192">
        <v>1735</v>
      </c>
      <c r="F124" s="125">
        <f>ROUND(E124*Valores!$C$2,2)</f>
        <v>134630.26999999999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49291.01</v>
      </c>
      <c r="N124" s="125">
        <f t="shared" si="12"/>
        <v>0</v>
      </c>
      <c r="O124" s="125">
        <f>Valores!$C$16</f>
        <v>67049.36</v>
      </c>
      <c r="P124" s="125">
        <f>Valores!$D$5</f>
        <v>39667.43</v>
      </c>
      <c r="Q124" s="125">
        <v>0</v>
      </c>
      <c r="R124" s="125">
        <f>IF($F$4="NO",Valores!$C$44,Valores!$C$44/2)</f>
        <v>26002.29</v>
      </c>
      <c r="S124" s="125">
        <f>Valores!$C$20</f>
        <v>36531.46</v>
      </c>
      <c r="T124" s="125">
        <f t="shared" si="19"/>
        <v>36531.46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Valores!$C$96</f>
        <v>54315.88</v>
      </c>
      <c r="AA124" s="125">
        <f>Valores!$C$25</f>
        <v>1622.32</v>
      </c>
      <c r="AB124" s="214">
        <v>0</v>
      </c>
      <c r="AC124" s="125">
        <f t="shared" si="13"/>
        <v>0</v>
      </c>
      <c r="AD124" s="125">
        <f>Valores!$C$26</f>
        <v>1622.32</v>
      </c>
      <c r="AE124" s="192">
        <v>0</v>
      </c>
      <c r="AF124" s="125">
        <f>ROUND(AE124*Valores!$C$2,2)</f>
        <v>0</v>
      </c>
      <c r="AG124" s="125">
        <f>ROUND(IF($F$4="NO",Valores!$C$64,Valores!$C$64/2),2)</f>
        <v>18547.32</v>
      </c>
      <c r="AH124" s="125">
        <f>SUM(F124,H124,J124,L124,M124,N124,O124,P124,Q124,R124,T124,U124,V124,X124,Y124,Z124,AA124,AC124,AD124,AF124,AG124)*Valores!$C$104</f>
        <v>42927.966000000008</v>
      </c>
      <c r="AI124" s="125">
        <f t="shared" si="16"/>
        <v>472207.62600000005</v>
      </c>
      <c r="AJ124" s="125">
        <f>Valores!$C$31</f>
        <v>35000</v>
      </c>
      <c r="AK124" s="125">
        <v>0</v>
      </c>
      <c r="AL124" s="125">
        <f>Valores!$C$89</f>
        <v>0</v>
      </c>
      <c r="AM124" s="125">
        <f>Valores!C$39*B124</f>
        <v>0</v>
      </c>
      <c r="AN124" s="125">
        <f>IF($F$3="NO",0,Valores!$C$57)</f>
        <v>0</v>
      </c>
      <c r="AO124" s="125">
        <f t="shared" si="14"/>
        <v>35000</v>
      </c>
      <c r="AP124" s="125">
        <f>AI124*Valores!$C$72</f>
        <v>-51942.838860000003</v>
      </c>
      <c r="AQ124" s="125">
        <f>IF(AI124&lt;Valores!$E$73,-0.02,IF(AI124&lt;Valores!$F$73,-0.03,-0.04))*AI124</f>
        <v>-9444.1525200000015</v>
      </c>
      <c r="AR124" s="125">
        <f>AI124*Valores!$C$75</f>
        <v>-25971.419430000002</v>
      </c>
      <c r="AS124" s="125">
        <f>Valores!$C$102</f>
        <v>-1270.1600000000001</v>
      </c>
      <c r="AT124" s="125">
        <f>IF($F$5=0,Valores!$C$103,(Valores!$C$103+$F$5*(Valores!$C$103)))</f>
        <v>-3700</v>
      </c>
      <c r="AU124" s="125">
        <f t="shared" si="17"/>
        <v>414879.05519000004</v>
      </c>
      <c r="AV124" s="125">
        <f t="shared" si="11"/>
        <v>-51942.838860000003</v>
      </c>
      <c r="AW124" s="125">
        <f t="shared" si="18"/>
        <v>-9444.1525200000015</v>
      </c>
      <c r="AX124" s="125">
        <f>AI124*Valores!$C$76</f>
        <v>-12749.605902000001</v>
      </c>
      <c r="AY124" s="125">
        <f>AI124*Valores!$C$77</f>
        <v>-1416.6228780000001</v>
      </c>
      <c r="AZ124" s="125">
        <f t="shared" si="15"/>
        <v>431654.40584000002</v>
      </c>
      <c r="BA124" s="125">
        <f>AI124*Valores!$C$79</f>
        <v>75553.220160000012</v>
      </c>
      <c r="BB124" s="125">
        <f>AI124*Valores!$C$80</f>
        <v>33054.533820000004</v>
      </c>
      <c r="BC124" s="125">
        <f>AI124*Valores!$C$81</f>
        <v>4722.0762600000007</v>
      </c>
      <c r="BD124" s="125">
        <f>AI124*Valores!$C$83</f>
        <v>16527.266910000002</v>
      </c>
      <c r="BE124" s="125">
        <f>AI124*Valores!$C$85</f>
        <v>25499.211804000002</v>
      </c>
      <c r="BF124" s="125">
        <f>AI124*Valores!$C$84</f>
        <v>2833.2457560000003</v>
      </c>
      <c r="BG124" s="126"/>
      <c r="BH124" s="126">
        <v>40</v>
      </c>
      <c r="BI124" s="123" t="s">
        <v>4</v>
      </c>
    </row>
    <row r="125" spans="1:61" s="110" customFormat="1" ht="11.25" customHeight="1" x14ac:dyDescent="0.15">
      <c r="A125" s="123" t="s">
        <v>335</v>
      </c>
      <c r="B125" s="123">
        <v>1</v>
      </c>
      <c r="C125" s="126">
        <v>118</v>
      </c>
      <c r="D125" s="124" t="s">
        <v>336</v>
      </c>
      <c r="E125" s="192">
        <v>72</v>
      </c>
      <c r="F125" s="125">
        <f>ROUND(E125*Valores!$C$2,2)</f>
        <v>5586.96</v>
      </c>
      <c r="G125" s="192">
        <v>1590</v>
      </c>
      <c r="H125" s="125">
        <f>ROUND(G125*Valores!$C$2,2)</f>
        <v>123378.75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47874.87</v>
      </c>
      <c r="N125" s="125">
        <f t="shared" si="12"/>
        <v>0</v>
      </c>
      <c r="O125" s="125">
        <f>Valores!$C$16</f>
        <v>67049.36</v>
      </c>
      <c r="P125" s="125">
        <f>Valores!$D$5</f>
        <v>39667.43</v>
      </c>
      <c r="Q125" s="125">
        <f>Valores!$C$22</f>
        <v>35387.42</v>
      </c>
      <c r="R125" s="125">
        <f>IF($F$4="NO",Valores!$C$44,Valores!$C$44/2)</f>
        <v>26002.29</v>
      </c>
      <c r="S125" s="125">
        <f>Valores!$C$20</f>
        <v>36531.46</v>
      </c>
      <c r="T125" s="125">
        <f t="shared" si="19"/>
        <v>36531.46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Valores!$C$96</f>
        <v>54315.88</v>
      </c>
      <c r="AA125" s="125">
        <f>Valores!$C$25</f>
        <v>1622.32</v>
      </c>
      <c r="AB125" s="214">
        <v>0</v>
      </c>
      <c r="AC125" s="125">
        <f t="shared" si="13"/>
        <v>0</v>
      </c>
      <c r="AD125" s="125">
        <f>Valores!$C$26</f>
        <v>1622.32</v>
      </c>
      <c r="AE125" s="192">
        <v>0</v>
      </c>
      <c r="AF125" s="125">
        <f>ROUND(AE125*Valores!$C$2,2)</f>
        <v>0</v>
      </c>
      <c r="AG125" s="125">
        <f>ROUND(IF($F$4="NO",Valores!$C$64,Valores!$C$64/2),2)</f>
        <v>18547.32</v>
      </c>
      <c r="AH125" s="125">
        <f>SUM(F125,H125,J125,L125,M125,N125,O125,P125,Q125,R125,T125,U125,V125,X125,Y125,Z125,AA125,AC125,AD125,AF125,AG125)*Valores!$C$104</f>
        <v>45758.638000000006</v>
      </c>
      <c r="AI125" s="125">
        <f t="shared" si="16"/>
        <v>503345.01800000004</v>
      </c>
      <c r="AJ125" s="125">
        <f>Valores!$C$31</f>
        <v>35000</v>
      </c>
      <c r="AK125" s="125">
        <v>0</v>
      </c>
      <c r="AL125" s="125">
        <f>Valores!$C$89</f>
        <v>0</v>
      </c>
      <c r="AM125" s="125">
        <f>Valores!C$39*B125</f>
        <v>0</v>
      </c>
      <c r="AN125" s="125">
        <f>IF($F$3="NO",0,Valores!$C$57)</f>
        <v>0</v>
      </c>
      <c r="AO125" s="125">
        <f t="shared" si="14"/>
        <v>35000</v>
      </c>
      <c r="AP125" s="125">
        <f>AI125*Valores!$C$72</f>
        <v>-55367.951980000005</v>
      </c>
      <c r="AQ125" s="125">
        <f>IF(AI125&lt;Valores!$E$73,-0.02,IF(AI125&lt;Valores!$F$73,-0.03,-0.04))*AI125</f>
        <v>-10066.900360000001</v>
      </c>
      <c r="AR125" s="125">
        <f>AI125*Valores!$C$75</f>
        <v>-27683.975990000003</v>
      </c>
      <c r="AS125" s="125">
        <f>Valores!$C$102</f>
        <v>-1270.1600000000001</v>
      </c>
      <c r="AT125" s="125">
        <f>IF($F$5=0,Valores!$C$103,(Valores!$C$103+$F$5*(Valores!$C$103)))</f>
        <v>-3700</v>
      </c>
      <c r="AU125" s="125">
        <f t="shared" si="17"/>
        <v>440256.02967000002</v>
      </c>
      <c r="AV125" s="125">
        <f t="shared" si="11"/>
        <v>-55367.951980000005</v>
      </c>
      <c r="AW125" s="125">
        <f t="shared" si="18"/>
        <v>-10066.900360000001</v>
      </c>
      <c r="AX125" s="125">
        <f>AI125*Valores!$C$76</f>
        <v>-13590.315486000001</v>
      </c>
      <c r="AY125" s="125">
        <f>AI125*Valores!$C$77</f>
        <v>-1510.0350540000002</v>
      </c>
      <c r="AZ125" s="125">
        <f t="shared" si="15"/>
        <v>457809.81512000004</v>
      </c>
      <c r="BA125" s="125">
        <f>AI125*Valores!$C$79</f>
        <v>80535.202880000012</v>
      </c>
      <c r="BB125" s="125">
        <f>AI125*Valores!$C$80</f>
        <v>35234.151260000006</v>
      </c>
      <c r="BC125" s="125">
        <f>AI125*Valores!$C$81</f>
        <v>5033.4501800000007</v>
      </c>
      <c r="BD125" s="125">
        <f>AI125*Valores!$C$83</f>
        <v>17617.075630000003</v>
      </c>
      <c r="BE125" s="125">
        <f>AI125*Valores!$C$85</f>
        <v>27180.630972000003</v>
      </c>
      <c r="BF125" s="125">
        <f>AI125*Valores!$C$84</f>
        <v>3020.0701080000003</v>
      </c>
      <c r="BG125" s="126"/>
      <c r="BH125" s="126">
        <v>25</v>
      </c>
      <c r="BI125" s="123" t="s">
        <v>4</v>
      </c>
    </row>
    <row r="126" spans="1:61" s="110" customFormat="1" ht="11.25" customHeight="1" x14ac:dyDescent="0.15">
      <c r="A126" s="123" t="s">
        <v>337</v>
      </c>
      <c r="B126" s="123">
        <v>1</v>
      </c>
      <c r="C126" s="126">
        <v>119</v>
      </c>
      <c r="D126" s="124" t="s">
        <v>338</v>
      </c>
      <c r="E126" s="192">
        <v>72</v>
      </c>
      <c r="F126" s="125">
        <f>ROUND(E126*Valores!$C$2,2)</f>
        <v>5586.96</v>
      </c>
      <c r="G126" s="192">
        <v>1590</v>
      </c>
      <c r="H126" s="125">
        <f>ROUND(G126*Valores!$C$2,2)</f>
        <v>123378.75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47874.87</v>
      </c>
      <c r="N126" s="125">
        <f t="shared" si="12"/>
        <v>0</v>
      </c>
      <c r="O126" s="125">
        <f>Valores!$C$16</f>
        <v>67049.36</v>
      </c>
      <c r="P126" s="125">
        <f>Valores!$D$5</f>
        <v>39667.43</v>
      </c>
      <c r="Q126" s="125">
        <f>Valores!$C$22</f>
        <v>35387.42</v>
      </c>
      <c r="R126" s="125">
        <f>IF($F$4="NO",Valores!$C$44,Valores!$C$44/2)</f>
        <v>26002.29</v>
      </c>
      <c r="S126" s="125">
        <f>Valores!$C$20</f>
        <v>36531.46</v>
      </c>
      <c r="T126" s="125">
        <f t="shared" si="19"/>
        <v>36531.46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Valores!$C$96</f>
        <v>54315.88</v>
      </c>
      <c r="AA126" s="125">
        <f>Valores!$C$25</f>
        <v>1622.32</v>
      </c>
      <c r="AB126" s="214">
        <v>0</v>
      </c>
      <c r="AC126" s="125">
        <f t="shared" si="13"/>
        <v>0</v>
      </c>
      <c r="AD126" s="125">
        <f>Valores!$C$26</f>
        <v>1622.32</v>
      </c>
      <c r="AE126" s="192">
        <v>94</v>
      </c>
      <c r="AF126" s="125">
        <f>ROUND(AE126*Valores!$C$2,2)</f>
        <v>7294.09</v>
      </c>
      <c r="AG126" s="125">
        <f>ROUND(IF($F$4="NO",Valores!$C$64,Valores!$C$64/2),2)</f>
        <v>18547.32</v>
      </c>
      <c r="AH126" s="125">
        <f>SUM(F126,H126,J126,L126,M126,N126,O126,P126,Q126,R126,T126,U126,V126,X126,Y126,Z126,AA126,AC126,AD126,AF126,AG126)*Valores!$C$104</f>
        <v>46488.047000000006</v>
      </c>
      <c r="AI126" s="125">
        <f t="shared" si="16"/>
        <v>511368.51700000005</v>
      </c>
      <c r="AJ126" s="125">
        <f>Valores!$C$31</f>
        <v>35000</v>
      </c>
      <c r="AK126" s="125">
        <v>0</v>
      </c>
      <c r="AL126" s="125">
        <f>Valores!$C$89</f>
        <v>0</v>
      </c>
      <c r="AM126" s="125">
        <f>Valores!C$39*B126</f>
        <v>0</v>
      </c>
      <c r="AN126" s="125">
        <f>IF($F$3="NO",0,Valores!$C$57)</f>
        <v>0</v>
      </c>
      <c r="AO126" s="125">
        <f t="shared" si="14"/>
        <v>35000</v>
      </c>
      <c r="AP126" s="125">
        <f>AI126*Valores!$C$72</f>
        <v>-56250.536870000004</v>
      </c>
      <c r="AQ126" s="125">
        <f>IF(AI126&lt;Valores!$E$73,-0.02,IF(AI126&lt;Valores!$F$73,-0.03,-0.04))*AI126</f>
        <v>-10227.370340000001</v>
      </c>
      <c r="AR126" s="125">
        <f>AI126*Valores!$C$75</f>
        <v>-28125.268435000002</v>
      </c>
      <c r="AS126" s="125">
        <f>Valores!$C$102</f>
        <v>-1270.1600000000001</v>
      </c>
      <c r="AT126" s="125">
        <f>IF($F$5=0,Valores!$C$103,(Valores!$C$103+$F$5*(Valores!$C$103)))</f>
        <v>-3700</v>
      </c>
      <c r="AU126" s="125">
        <f t="shared" si="17"/>
        <v>446795.18135500001</v>
      </c>
      <c r="AV126" s="125">
        <f t="shared" si="11"/>
        <v>-56250.536870000004</v>
      </c>
      <c r="AW126" s="125">
        <f t="shared" si="18"/>
        <v>-10227.370340000001</v>
      </c>
      <c r="AX126" s="125">
        <f>AI126*Valores!$C$76</f>
        <v>-13806.949959000001</v>
      </c>
      <c r="AY126" s="125">
        <f>AI126*Valores!$C$77</f>
        <v>-1534.1055510000001</v>
      </c>
      <c r="AZ126" s="125">
        <f t="shared" si="15"/>
        <v>464549.55427999998</v>
      </c>
      <c r="BA126" s="125">
        <f>AI126*Valores!$C$79</f>
        <v>81818.96272000001</v>
      </c>
      <c r="BB126" s="125">
        <f>AI126*Valores!$C$80</f>
        <v>35795.796190000008</v>
      </c>
      <c r="BC126" s="125">
        <f>AI126*Valores!$C$81</f>
        <v>5113.6851700000007</v>
      </c>
      <c r="BD126" s="125">
        <f>AI126*Valores!$C$83</f>
        <v>17897.898095000004</v>
      </c>
      <c r="BE126" s="125">
        <f>AI126*Valores!$C$85</f>
        <v>27613.899918000003</v>
      </c>
      <c r="BF126" s="125">
        <f>AI126*Valores!$C$84</f>
        <v>3068.2111020000002</v>
      </c>
      <c r="BG126" s="126"/>
      <c r="BH126" s="126">
        <v>20</v>
      </c>
      <c r="BI126" s="123" t="s">
        <v>4</v>
      </c>
    </row>
    <row r="127" spans="1:61" s="110" customFormat="1" ht="11.25" customHeight="1" x14ac:dyDescent="0.15">
      <c r="A127" s="123" t="s">
        <v>339</v>
      </c>
      <c r="B127" s="123">
        <v>1</v>
      </c>
      <c r="C127" s="126">
        <v>120</v>
      </c>
      <c r="D127" s="124" t="s">
        <v>340</v>
      </c>
      <c r="E127" s="192">
        <v>77</v>
      </c>
      <c r="F127" s="125">
        <f>ROUND(E127*Valores!$C$2,2)</f>
        <v>5974.95</v>
      </c>
      <c r="G127" s="192">
        <v>2043</v>
      </c>
      <c r="H127" s="125">
        <f>ROUND(G127*Valores!$C$2,2)</f>
        <v>158530.06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57242.16</v>
      </c>
      <c r="N127" s="125">
        <f t="shared" si="12"/>
        <v>0</v>
      </c>
      <c r="O127" s="125">
        <f>Valores!$C$11</f>
        <v>69186.37</v>
      </c>
      <c r="P127" s="125">
        <f>Valores!$D$5</f>
        <v>39667.43</v>
      </c>
      <c r="Q127" s="125">
        <f>Valores!$C$22</f>
        <v>35387.42</v>
      </c>
      <c r="R127" s="125">
        <f>IF($F$4="NO",Valores!$C$45,Valores!$C$45/2)</f>
        <v>27554.83</v>
      </c>
      <c r="S127" s="125">
        <f>Valores!$C$19</f>
        <v>36908.81</v>
      </c>
      <c r="T127" s="125">
        <f t="shared" si="19"/>
        <v>36908.81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Valores!$C$96</f>
        <v>54315.88</v>
      </c>
      <c r="AA127" s="125">
        <f>Valores!$C$25</f>
        <v>1622.32</v>
      </c>
      <c r="AB127" s="214">
        <v>0</v>
      </c>
      <c r="AC127" s="125">
        <f t="shared" si="13"/>
        <v>0</v>
      </c>
      <c r="AD127" s="125">
        <f>Valores!$C$26</f>
        <v>1622.32</v>
      </c>
      <c r="AE127" s="192">
        <v>0</v>
      </c>
      <c r="AF127" s="125">
        <f>ROUND(AE127*Valores!$C$2,2)</f>
        <v>0</v>
      </c>
      <c r="AG127" s="125">
        <f>ROUND(IF($F$4="NO",Valores!$C$64,Valores!$C$64/2),2)</f>
        <v>18547.32</v>
      </c>
      <c r="AH127" s="125">
        <f>SUM(F127,H127,J127,L127,M127,N127,O127,P127,Q127,R127,T127,U127,V127,X127,Y127,Z127,AA127,AC127,AD127,AF127,AG127)*Valores!$C$104</f>
        <v>50655.987000000008</v>
      </c>
      <c r="AI127" s="125">
        <f t="shared" si="16"/>
        <v>557215.85700000008</v>
      </c>
      <c r="AJ127" s="125">
        <f>Valores!$C$31</f>
        <v>35000</v>
      </c>
      <c r="AK127" s="125">
        <v>0</v>
      </c>
      <c r="AL127" s="125">
        <f>Valores!$C$89</f>
        <v>0</v>
      </c>
      <c r="AM127" s="125">
        <f>Valores!C$39*B127</f>
        <v>0</v>
      </c>
      <c r="AN127" s="125">
        <f>IF($F$3="NO",0,Valores!$C$57)</f>
        <v>0</v>
      </c>
      <c r="AO127" s="125">
        <f t="shared" si="14"/>
        <v>35000</v>
      </c>
      <c r="AP127" s="125">
        <f>AI127*Valores!$C$72</f>
        <v>-61293.74427000001</v>
      </c>
      <c r="AQ127" s="125">
        <f>IF(AI127&lt;Valores!$E$73,-0.02,IF(AI127&lt;Valores!$F$73,-0.03,-0.04))*AI127</f>
        <v>-11144.317140000001</v>
      </c>
      <c r="AR127" s="125">
        <f>AI127*Valores!$C$75</f>
        <v>-30646.872135000005</v>
      </c>
      <c r="AS127" s="125">
        <f>Valores!$C$102</f>
        <v>-1270.1600000000001</v>
      </c>
      <c r="AT127" s="125">
        <f>IF($F$5=0,Valores!$C$103,(Valores!$C$103+$F$5*(Valores!$C$103)))</f>
        <v>-3700</v>
      </c>
      <c r="AU127" s="125">
        <f t="shared" si="17"/>
        <v>484160.76345500007</v>
      </c>
      <c r="AV127" s="125">
        <f t="shared" si="11"/>
        <v>-61293.74427000001</v>
      </c>
      <c r="AW127" s="125">
        <f t="shared" si="18"/>
        <v>-11144.317140000001</v>
      </c>
      <c r="AX127" s="125">
        <f>AI127*Valores!$C$76</f>
        <v>-15044.828139000001</v>
      </c>
      <c r="AY127" s="125">
        <f>AI127*Valores!$C$77</f>
        <v>-1671.6475710000002</v>
      </c>
      <c r="AZ127" s="125">
        <f t="shared" si="15"/>
        <v>503061.31988000008</v>
      </c>
      <c r="BA127" s="125">
        <f>AI127*Valores!$C$79</f>
        <v>89154.537120000008</v>
      </c>
      <c r="BB127" s="125">
        <f>AI127*Valores!$C$80</f>
        <v>39005.109990000012</v>
      </c>
      <c r="BC127" s="125">
        <f>AI127*Valores!$C$81</f>
        <v>5572.1585700000005</v>
      </c>
      <c r="BD127" s="125">
        <f>AI127*Valores!$C$83</f>
        <v>19502.554995000006</v>
      </c>
      <c r="BE127" s="125">
        <f>AI127*Valores!$C$85</f>
        <v>30089.656278000002</v>
      </c>
      <c r="BF127" s="125">
        <f>AI127*Valores!$C$84</f>
        <v>3343.2951420000004</v>
      </c>
      <c r="BG127" s="126"/>
      <c r="BH127" s="126"/>
      <c r="BI127" s="123" t="s">
        <v>4</v>
      </c>
    </row>
    <row r="128" spans="1:61" s="110" customFormat="1" ht="11.25" customHeight="1" x14ac:dyDescent="0.15">
      <c r="A128" s="123" t="s">
        <v>341</v>
      </c>
      <c r="B128" s="123">
        <v>1</v>
      </c>
      <c r="C128" s="126">
        <v>121</v>
      </c>
      <c r="D128" s="124" t="s">
        <v>342</v>
      </c>
      <c r="E128" s="192">
        <v>61</v>
      </c>
      <c r="F128" s="125">
        <f>ROUND(E128*Valores!$C$2,2)</f>
        <v>4733.3999999999996</v>
      </c>
      <c r="G128" s="192">
        <v>1217</v>
      </c>
      <c r="H128" s="125">
        <f>ROUND(G128*Valores!$C$2,2)</f>
        <v>94435.18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40519.919999999998</v>
      </c>
      <c r="N128" s="125">
        <f t="shared" si="12"/>
        <v>0</v>
      </c>
      <c r="O128" s="125">
        <f>Valores!$C$16</f>
        <v>67049.36</v>
      </c>
      <c r="P128" s="125">
        <f>Valores!$D$5</f>
        <v>39667.43</v>
      </c>
      <c r="Q128" s="125">
        <f>Valores!$C$22</f>
        <v>35387.42</v>
      </c>
      <c r="R128" s="125">
        <f>IF($F$4="NO",Valores!$C$44,Valores!$C$44/2)</f>
        <v>26002.29</v>
      </c>
      <c r="S128" s="125">
        <f>Valores!$C$19</f>
        <v>36908.81</v>
      </c>
      <c r="T128" s="125">
        <f t="shared" si="19"/>
        <v>36908.81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Valores!$C$96</f>
        <v>54315.88</v>
      </c>
      <c r="AA128" s="125">
        <f>Valores!$C$25</f>
        <v>1622.32</v>
      </c>
      <c r="AB128" s="214">
        <v>0</v>
      </c>
      <c r="AC128" s="125">
        <f t="shared" si="13"/>
        <v>0</v>
      </c>
      <c r="AD128" s="125">
        <f>Valores!$C$26</f>
        <v>1622.32</v>
      </c>
      <c r="AE128" s="192">
        <v>0</v>
      </c>
      <c r="AF128" s="125">
        <f>ROUND(AE128*Valores!$C$2,2)</f>
        <v>0</v>
      </c>
      <c r="AG128" s="125">
        <f>ROUND(IF($F$4="NO",Valores!$C$64,Valores!$C$64/2),2)</f>
        <v>18547.32</v>
      </c>
      <c r="AH128" s="125">
        <f>SUM(F128,H128,J128,L128,M128,N128,O128,P128,Q128,R128,T128,U128,V128,X128,Y128,Z128,AA128,AC128,AD128,AF128,AG128)*Valores!$C$104</f>
        <v>42081.165000000001</v>
      </c>
      <c r="AI128" s="125">
        <f t="shared" si="16"/>
        <v>462892.81499999994</v>
      </c>
      <c r="AJ128" s="125">
        <f>Valores!$C$31</f>
        <v>35000</v>
      </c>
      <c r="AK128" s="125">
        <v>0</v>
      </c>
      <c r="AL128" s="125">
        <f>Valores!$C$89</f>
        <v>0</v>
      </c>
      <c r="AM128" s="125">
        <f>Valores!C$39*B128</f>
        <v>0</v>
      </c>
      <c r="AN128" s="125">
        <f>IF($F$3="NO",0,Valores!$C$57)</f>
        <v>0</v>
      </c>
      <c r="AO128" s="125">
        <f t="shared" si="14"/>
        <v>35000</v>
      </c>
      <c r="AP128" s="125">
        <f>AI128*Valores!$C$72</f>
        <v>-50918.209649999997</v>
      </c>
      <c r="AQ128" s="125">
        <f>IF(AI128&lt;Valores!$E$73,-0.02,IF(AI128&lt;Valores!$F$73,-0.03,-0.04))*AI128</f>
        <v>-9257.8562999999995</v>
      </c>
      <c r="AR128" s="125">
        <f>AI128*Valores!$C$75</f>
        <v>-25459.104824999999</v>
      </c>
      <c r="AS128" s="125">
        <f>Valores!$C$102</f>
        <v>-1270.1600000000001</v>
      </c>
      <c r="AT128" s="125">
        <f>IF($F$5=0,Valores!$C$103,(Valores!$C$103+$F$5*(Valores!$C$103)))</f>
        <v>-3700</v>
      </c>
      <c r="AU128" s="125">
        <f t="shared" si="17"/>
        <v>407287.48422499996</v>
      </c>
      <c r="AV128" s="125">
        <f t="shared" si="11"/>
        <v>-50918.209649999997</v>
      </c>
      <c r="AW128" s="125">
        <f t="shared" si="18"/>
        <v>-9257.8562999999995</v>
      </c>
      <c r="AX128" s="125">
        <f>AI128*Valores!$C$76</f>
        <v>-12498.106004999998</v>
      </c>
      <c r="AY128" s="125">
        <f>AI128*Valores!$C$77</f>
        <v>-1388.6784449999998</v>
      </c>
      <c r="AZ128" s="125">
        <f t="shared" si="15"/>
        <v>423829.96459999995</v>
      </c>
      <c r="BA128" s="125">
        <f>AI128*Valores!$C$79</f>
        <v>74062.850399999996</v>
      </c>
      <c r="BB128" s="125">
        <f>AI128*Valores!$C$80</f>
        <v>32402.497049999998</v>
      </c>
      <c r="BC128" s="125">
        <f>AI128*Valores!$C$81</f>
        <v>4628.9281499999997</v>
      </c>
      <c r="BD128" s="125">
        <f>AI128*Valores!$C$83</f>
        <v>16201.248524999999</v>
      </c>
      <c r="BE128" s="125">
        <f>AI128*Valores!$C$85</f>
        <v>24996.212009999996</v>
      </c>
      <c r="BF128" s="125">
        <f>AI128*Valores!$C$84</f>
        <v>2777.3568899999996</v>
      </c>
      <c r="BG128" s="126"/>
      <c r="BH128" s="126">
        <v>25</v>
      </c>
      <c r="BI128" s="123" t="s">
        <v>4</v>
      </c>
    </row>
    <row r="129" spans="1:61" s="110" customFormat="1" ht="11.25" customHeight="1" x14ac:dyDescent="0.15">
      <c r="A129" s="123" t="s">
        <v>343</v>
      </c>
      <c r="B129" s="123">
        <v>1</v>
      </c>
      <c r="C129" s="126">
        <v>122</v>
      </c>
      <c r="D129" s="124" t="s">
        <v>344</v>
      </c>
      <c r="E129" s="192">
        <v>72</v>
      </c>
      <c r="F129" s="125">
        <f>ROUND(E129*Valores!$C$2,2)</f>
        <v>5586.96</v>
      </c>
      <c r="G129" s="192">
        <v>1206</v>
      </c>
      <c r="H129" s="125">
        <f>ROUND(G129*Valores!$C$2,2)</f>
        <v>93581.62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40519.919999999998</v>
      </c>
      <c r="N129" s="125">
        <f t="shared" si="12"/>
        <v>0</v>
      </c>
      <c r="O129" s="125">
        <f>Valores!$C$16</f>
        <v>67049.36</v>
      </c>
      <c r="P129" s="125">
        <f>Valores!$D$5</f>
        <v>39667.43</v>
      </c>
      <c r="Q129" s="125">
        <f>Valores!$C$22</f>
        <v>35387.42</v>
      </c>
      <c r="R129" s="125">
        <f>IF($F$4="NO",Valores!$C$44,Valores!$C$44/2)</f>
        <v>26002.29</v>
      </c>
      <c r="S129" s="125">
        <f>Valores!$C$19</f>
        <v>36908.81</v>
      </c>
      <c r="T129" s="125">
        <f t="shared" si="19"/>
        <v>36908.81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Valores!$C$96</f>
        <v>54315.88</v>
      </c>
      <c r="AA129" s="125">
        <f>Valores!$C$25</f>
        <v>1622.32</v>
      </c>
      <c r="AB129" s="214">
        <v>0</v>
      </c>
      <c r="AC129" s="125">
        <f t="shared" si="13"/>
        <v>0</v>
      </c>
      <c r="AD129" s="125">
        <f>Valores!$C$26</f>
        <v>1622.32</v>
      </c>
      <c r="AE129" s="192">
        <v>94</v>
      </c>
      <c r="AF129" s="125">
        <f>ROUND(AE129*Valores!$C$2,2)</f>
        <v>7294.09</v>
      </c>
      <c r="AG129" s="125">
        <f>ROUND(IF($F$4="NO",Valores!$C$64,Valores!$C$64/2),2)</f>
        <v>18547.32</v>
      </c>
      <c r="AH129" s="125">
        <f>SUM(F129,H129,J129,L129,M129,N129,O129,P129,Q129,R129,T129,U129,V129,X129,Y129,Z129,AA129,AC129,AD129,AF129,AG129)*Valores!$C$104</f>
        <v>42810.574000000001</v>
      </c>
      <c r="AI129" s="125">
        <f t="shared" si="16"/>
        <v>470916.31400000001</v>
      </c>
      <c r="AJ129" s="125">
        <f>Valores!$C$31</f>
        <v>35000</v>
      </c>
      <c r="AK129" s="125">
        <v>0</v>
      </c>
      <c r="AL129" s="125">
        <f>Valores!$C$89</f>
        <v>0</v>
      </c>
      <c r="AM129" s="125">
        <f>Valores!C$39*B129</f>
        <v>0</v>
      </c>
      <c r="AN129" s="125">
        <f>IF($F$3="NO",0,Valores!$C$57)</f>
        <v>0</v>
      </c>
      <c r="AO129" s="125">
        <f t="shared" si="14"/>
        <v>35000</v>
      </c>
      <c r="AP129" s="125">
        <f>AI129*Valores!$C$72</f>
        <v>-51800.794540000003</v>
      </c>
      <c r="AQ129" s="125">
        <f>IF(AI129&lt;Valores!$E$73,-0.02,IF(AI129&lt;Valores!$F$73,-0.03,-0.04))*AI129</f>
        <v>-9418.3262800000011</v>
      </c>
      <c r="AR129" s="125">
        <f>AI129*Valores!$C$75</f>
        <v>-25900.397270000001</v>
      </c>
      <c r="AS129" s="125">
        <f>Valores!$C$102</f>
        <v>-1270.1600000000001</v>
      </c>
      <c r="AT129" s="125">
        <f>IF($F$5=0,Valores!$C$103,(Valores!$C$103+$F$5*(Valores!$C$103)))</f>
        <v>-3700</v>
      </c>
      <c r="AU129" s="125">
        <f t="shared" si="17"/>
        <v>413826.63591000001</v>
      </c>
      <c r="AV129" s="125">
        <f t="shared" si="11"/>
        <v>-51800.794540000003</v>
      </c>
      <c r="AW129" s="125">
        <f t="shared" si="18"/>
        <v>-9418.3262800000011</v>
      </c>
      <c r="AX129" s="125">
        <f>AI129*Valores!$C$76</f>
        <v>-12714.740478</v>
      </c>
      <c r="AY129" s="125">
        <f>AI129*Valores!$C$77</f>
        <v>-1412.7489420000002</v>
      </c>
      <c r="AZ129" s="125">
        <f t="shared" si="15"/>
        <v>430569.70376</v>
      </c>
      <c r="BA129" s="125">
        <f>AI129*Valores!$C$79</f>
        <v>75346.610240000009</v>
      </c>
      <c r="BB129" s="125">
        <f>AI129*Valores!$C$80</f>
        <v>32964.141980000008</v>
      </c>
      <c r="BC129" s="125">
        <f>AI129*Valores!$C$81</f>
        <v>4709.1631400000006</v>
      </c>
      <c r="BD129" s="125">
        <f>AI129*Valores!$C$83</f>
        <v>16482.070990000004</v>
      </c>
      <c r="BE129" s="125">
        <f>AI129*Valores!$C$85</f>
        <v>25429.480955999999</v>
      </c>
      <c r="BF129" s="125">
        <f>AI129*Valores!$C$84</f>
        <v>2825.4978840000003</v>
      </c>
      <c r="BG129" s="126"/>
      <c r="BH129" s="126">
        <v>20</v>
      </c>
      <c r="BI129" s="123" t="s">
        <v>4</v>
      </c>
    </row>
    <row r="130" spans="1:61" s="110" customFormat="1" ht="11.25" customHeight="1" x14ac:dyDescent="0.15">
      <c r="A130" s="123" t="s">
        <v>345</v>
      </c>
      <c r="B130" s="123">
        <v>1</v>
      </c>
      <c r="C130" s="126">
        <v>123</v>
      </c>
      <c r="D130" s="124" t="s">
        <v>346</v>
      </c>
      <c r="E130" s="192">
        <v>61</v>
      </c>
      <c r="F130" s="125">
        <f>ROUND(E130*Valores!$C$2,2)</f>
        <v>4733.3999999999996</v>
      </c>
      <c r="G130" s="192">
        <v>1217</v>
      </c>
      <c r="H130" s="125">
        <f>ROUND(G130*Valores!$C$2,2)</f>
        <v>94435.18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40425.58</v>
      </c>
      <c r="N130" s="125">
        <f t="shared" si="12"/>
        <v>0</v>
      </c>
      <c r="O130" s="125">
        <f>Valores!$C$16</f>
        <v>67049.36</v>
      </c>
      <c r="P130" s="125">
        <f>Valores!$D$5</f>
        <v>39667.43</v>
      </c>
      <c r="Q130" s="125">
        <v>0</v>
      </c>
      <c r="R130" s="125">
        <f>IF($F$4="NO",Valores!$C$44,Valores!$C$44/2)</f>
        <v>26002.29</v>
      </c>
      <c r="S130" s="125">
        <f>Valores!$C$20</f>
        <v>36531.46</v>
      </c>
      <c r="T130" s="125">
        <f t="shared" si="19"/>
        <v>36531.46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Valores!$C$96</f>
        <v>54315.88</v>
      </c>
      <c r="AA130" s="125">
        <f>Valores!$C$25</f>
        <v>1622.32</v>
      </c>
      <c r="AB130" s="214">
        <v>0</v>
      </c>
      <c r="AC130" s="125">
        <f t="shared" si="13"/>
        <v>0</v>
      </c>
      <c r="AD130" s="125">
        <f>Valores!$C$26</f>
        <v>1622.32</v>
      </c>
      <c r="AE130" s="192">
        <v>0</v>
      </c>
      <c r="AF130" s="125">
        <f>ROUND(AE130*Valores!$C$2,2)</f>
        <v>0</v>
      </c>
      <c r="AG130" s="125">
        <f>ROUND(IF($F$4="NO",Valores!$C$64,Valores!$C$64/2),2)</f>
        <v>18547.32</v>
      </c>
      <c r="AH130" s="125">
        <f>SUM(F130,H130,J130,L130,M130,N130,O130,P130,Q130,R130,T130,U130,V130,X130,Y130,Z130,AA130,AC130,AD130,AF130,AG130)*Valores!$C$104</f>
        <v>38495.254000000001</v>
      </c>
      <c r="AI130" s="125">
        <f t="shared" si="16"/>
        <v>423447.79399999999</v>
      </c>
      <c r="AJ130" s="125">
        <f>Valores!$C$31</f>
        <v>35000</v>
      </c>
      <c r="AK130" s="125">
        <v>0</v>
      </c>
      <c r="AL130" s="125">
        <f>Valores!$C$89</f>
        <v>0</v>
      </c>
      <c r="AM130" s="125">
        <f>Valores!C$39*B130</f>
        <v>0</v>
      </c>
      <c r="AN130" s="125">
        <f>IF($F$3="NO",0,Valores!$C$57)</f>
        <v>0</v>
      </c>
      <c r="AO130" s="125">
        <f t="shared" si="14"/>
        <v>35000</v>
      </c>
      <c r="AP130" s="125">
        <f>AI130*Valores!$C$72</f>
        <v>-46579.257339999996</v>
      </c>
      <c r="AQ130" s="125">
        <f>IF(AI130&lt;Valores!$E$73,-0.02,IF(AI130&lt;Valores!$F$73,-0.03,-0.04))*AI130</f>
        <v>-8468.9558799999995</v>
      </c>
      <c r="AR130" s="125">
        <f>AI130*Valores!$C$75</f>
        <v>-23289.628669999998</v>
      </c>
      <c r="AS130" s="125">
        <f>Valores!$C$102</f>
        <v>-1270.1600000000001</v>
      </c>
      <c r="AT130" s="125">
        <f>IF($F$5=0,Valores!$C$103,(Valores!$C$103+$F$5*(Valores!$C$103)))</f>
        <v>-3700</v>
      </c>
      <c r="AU130" s="125">
        <f t="shared" si="17"/>
        <v>375139.79210999998</v>
      </c>
      <c r="AV130" s="125">
        <f t="shared" si="11"/>
        <v>-46579.257339999996</v>
      </c>
      <c r="AW130" s="125">
        <f t="shared" si="18"/>
        <v>-8468.9558799999995</v>
      </c>
      <c r="AX130" s="125">
        <f>AI130*Valores!$C$76</f>
        <v>-11433.090437999999</v>
      </c>
      <c r="AY130" s="125">
        <f>AI130*Valores!$C$77</f>
        <v>-1270.343382</v>
      </c>
      <c r="AZ130" s="125">
        <f t="shared" si="15"/>
        <v>390696.14695999998</v>
      </c>
      <c r="BA130" s="125">
        <f>AI130*Valores!$C$79</f>
        <v>67751.647039999996</v>
      </c>
      <c r="BB130" s="125">
        <f>AI130*Valores!$C$80</f>
        <v>29641.345580000001</v>
      </c>
      <c r="BC130" s="125">
        <f>AI130*Valores!$C$81</f>
        <v>4234.4779399999998</v>
      </c>
      <c r="BD130" s="125">
        <f>AI130*Valores!$C$83</f>
        <v>14820.672790000001</v>
      </c>
      <c r="BE130" s="125">
        <f>AI130*Valores!$C$85</f>
        <v>22866.180875999999</v>
      </c>
      <c r="BF130" s="125">
        <f>AI130*Valores!$C$84</f>
        <v>2540.686764</v>
      </c>
      <c r="BG130" s="126"/>
      <c r="BH130" s="126"/>
      <c r="BI130" s="123" t="s">
        <v>8</v>
      </c>
    </row>
    <row r="131" spans="1:61" s="110" customFormat="1" ht="11.25" customHeight="1" x14ac:dyDescent="0.15">
      <c r="A131" s="123" t="s">
        <v>347</v>
      </c>
      <c r="B131" s="123">
        <v>1</v>
      </c>
      <c r="C131" s="126">
        <v>124</v>
      </c>
      <c r="D131" s="124" t="s">
        <v>348</v>
      </c>
      <c r="E131" s="192">
        <v>1278</v>
      </c>
      <c r="F131" s="125">
        <f>ROUND(E131*Valores!$C$2,2)</f>
        <v>99168.58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40813.72</v>
      </c>
      <c r="N131" s="125">
        <f t="shared" si="12"/>
        <v>0</v>
      </c>
      <c r="O131" s="125">
        <f>Valores!$C$16</f>
        <v>67049.36</v>
      </c>
      <c r="P131" s="125">
        <f>Valores!$D$5</f>
        <v>39667.43</v>
      </c>
      <c r="Q131" s="125">
        <f>Valores!$C$22</f>
        <v>35387.42</v>
      </c>
      <c r="R131" s="125">
        <f>IF($F$4="NO",Valores!$C$45,Valores!$C$45/2)</f>
        <v>27554.83</v>
      </c>
      <c r="S131" s="125">
        <f>Valores!$C$20</f>
        <v>36531.46</v>
      </c>
      <c r="T131" s="125">
        <f t="shared" si="19"/>
        <v>36531.46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Valores!$C$96</f>
        <v>54315.88</v>
      </c>
      <c r="AA131" s="125">
        <f>Valores!$C$25</f>
        <v>1622.32</v>
      </c>
      <c r="AB131" s="214">
        <v>0</v>
      </c>
      <c r="AC131" s="125">
        <f t="shared" si="13"/>
        <v>0</v>
      </c>
      <c r="AD131" s="125">
        <f>Valores!$C$26</f>
        <v>1622.32</v>
      </c>
      <c r="AE131" s="192">
        <v>0</v>
      </c>
      <c r="AF131" s="125">
        <f>ROUND(AE131*Valores!$C$2,2)</f>
        <v>0</v>
      </c>
      <c r="AG131" s="125">
        <f>ROUND(IF($F$4="NO",Valores!$C$64,Valores!$C$64/2),2)</f>
        <v>18547.32</v>
      </c>
      <c r="AH131" s="125">
        <f>SUM(F131,H131,J131,L131,M131,N131,O131,P131,Q131,R131,T131,U131,V131,X131,Y131,Z131,AA131,AC131,AD131,AF131,AG131)*Valores!$C$104</f>
        <v>42228.064000000006</v>
      </c>
      <c r="AI131" s="125">
        <f t="shared" si="16"/>
        <v>464508.70400000003</v>
      </c>
      <c r="AJ131" s="125">
        <f>Valores!$C$31</f>
        <v>35000</v>
      </c>
      <c r="AK131" s="125">
        <v>0</v>
      </c>
      <c r="AL131" s="125">
        <f>Valores!$C$89</f>
        <v>0</v>
      </c>
      <c r="AM131" s="125">
        <f>Valores!C$39*B131</f>
        <v>0</v>
      </c>
      <c r="AN131" s="125">
        <f>IF($F$3="NO",0,Valores!$C$57)</f>
        <v>0</v>
      </c>
      <c r="AO131" s="125">
        <f t="shared" si="14"/>
        <v>35000</v>
      </c>
      <c r="AP131" s="125">
        <f>AI131*Valores!$C$72</f>
        <v>-51095.957440000006</v>
      </c>
      <c r="AQ131" s="125">
        <f>IF(AI131&lt;Valores!$E$73,-0.02,IF(AI131&lt;Valores!$F$73,-0.03,-0.04))*AI131</f>
        <v>-9290.1740800000007</v>
      </c>
      <c r="AR131" s="125">
        <f>AI131*Valores!$C$75</f>
        <v>-25547.978720000003</v>
      </c>
      <c r="AS131" s="125">
        <f>Valores!$C$102</f>
        <v>-1270.1600000000001</v>
      </c>
      <c r="AT131" s="125">
        <f>IF($F$5=0,Valores!$C$103,(Valores!$C$103+$F$5*(Valores!$C$103)))</f>
        <v>-3700</v>
      </c>
      <c r="AU131" s="125">
        <f t="shared" si="17"/>
        <v>408604.43376000004</v>
      </c>
      <c r="AV131" s="125">
        <f t="shared" si="11"/>
        <v>-51095.957440000006</v>
      </c>
      <c r="AW131" s="125">
        <f t="shared" si="18"/>
        <v>-9290.1740800000007</v>
      </c>
      <c r="AX131" s="125">
        <f>AI131*Valores!$C$76</f>
        <v>-12541.735008000001</v>
      </c>
      <c r="AY131" s="125">
        <f>AI131*Valores!$C$77</f>
        <v>-1393.526112</v>
      </c>
      <c r="AZ131" s="125">
        <f t="shared" si="15"/>
        <v>425187.31135999999</v>
      </c>
      <c r="BA131" s="125">
        <f>AI131*Valores!$C$79</f>
        <v>74321.392640000005</v>
      </c>
      <c r="BB131" s="125">
        <f>AI131*Valores!$C$80</f>
        <v>32515.609280000004</v>
      </c>
      <c r="BC131" s="125">
        <f>AI131*Valores!$C$81</f>
        <v>4645.0870400000003</v>
      </c>
      <c r="BD131" s="125">
        <f>AI131*Valores!$C$83</f>
        <v>16257.804640000002</v>
      </c>
      <c r="BE131" s="125">
        <f>AI131*Valores!$C$85</f>
        <v>25083.470016000003</v>
      </c>
      <c r="BF131" s="125">
        <f>AI131*Valores!$C$84</f>
        <v>2787.052224</v>
      </c>
      <c r="BG131" s="126"/>
      <c r="BH131" s="126">
        <v>22</v>
      </c>
      <c r="BI131" s="123" t="s">
        <v>4</v>
      </c>
    </row>
    <row r="132" spans="1:61" s="110" customFormat="1" ht="11.25" customHeight="1" x14ac:dyDescent="0.15">
      <c r="A132" s="123" t="s">
        <v>349</v>
      </c>
      <c r="B132" s="123">
        <v>1</v>
      </c>
      <c r="C132" s="126">
        <v>125</v>
      </c>
      <c r="D132" s="124" t="s">
        <v>350</v>
      </c>
      <c r="E132" s="192">
        <v>1278</v>
      </c>
      <c r="F132" s="125">
        <f>ROUND(E132*Valores!$C$2,2)</f>
        <v>99168.58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40908.06</v>
      </c>
      <c r="N132" s="125">
        <f t="shared" si="12"/>
        <v>0</v>
      </c>
      <c r="O132" s="125">
        <f>Valores!$C$16</f>
        <v>67049.36</v>
      </c>
      <c r="P132" s="125">
        <f>Valores!$D$5</f>
        <v>39667.43</v>
      </c>
      <c r="Q132" s="125">
        <f>Valores!$C$22</f>
        <v>35387.42</v>
      </c>
      <c r="R132" s="125">
        <f>IF($F$4="NO",Valores!$C$45,Valores!$C$45/2)</f>
        <v>27554.83</v>
      </c>
      <c r="S132" s="125">
        <f>Valores!$C$19</f>
        <v>36908.81</v>
      </c>
      <c r="T132" s="125">
        <f t="shared" si="19"/>
        <v>36908.81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Valores!$C$96</f>
        <v>54315.88</v>
      </c>
      <c r="AA132" s="125">
        <f>Valores!$C$25</f>
        <v>1622.32</v>
      </c>
      <c r="AB132" s="214">
        <v>0</v>
      </c>
      <c r="AC132" s="125">
        <f t="shared" si="13"/>
        <v>0</v>
      </c>
      <c r="AD132" s="125">
        <f>Valores!$C$26</f>
        <v>1622.32</v>
      </c>
      <c r="AE132" s="192">
        <v>94</v>
      </c>
      <c r="AF132" s="125">
        <f>ROUND(AE132*Valores!$C$2,2)</f>
        <v>7294.09</v>
      </c>
      <c r="AG132" s="125">
        <f>ROUND(IF($F$4="NO",Valores!$C$64,Valores!$C$64/2),2)</f>
        <v>18547.32</v>
      </c>
      <c r="AH132" s="125">
        <f>SUM(F132,H132,J132,L132,M132,N132,O132,P132,Q132,R132,T132,U132,V132,X132,Y132,Z132,AA132,AC132,AD132,AF132,AG132)*Valores!$C$104</f>
        <v>43004.642000000007</v>
      </c>
      <c r="AI132" s="125">
        <f t="shared" si="16"/>
        <v>473051.06200000003</v>
      </c>
      <c r="AJ132" s="125">
        <f>Valores!$C$31</f>
        <v>35000</v>
      </c>
      <c r="AK132" s="125">
        <v>0</v>
      </c>
      <c r="AL132" s="125">
        <f>Valores!$C$89</f>
        <v>0</v>
      </c>
      <c r="AM132" s="125">
        <f>Valores!C$39*B132</f>
        <v>0</v>
      </c>
      <c r="AN132" s="125">
        <f>IF($F$3="NO",0,Valores!$C$57)</f>
        <v>0</v>
      </c>
      <c r="AO132" s="125">
        <f t="shared" si="14"/>
        <v>35000</v>
      </c>
      <c r="AP132" s="125">
        <f>AI132*Valores!$C$72</f>
        <v>-52035.616820000003</v>
      </c>
      <c r="AQ132" s="125">
        <f>IF(AI132&lt;Valores!$E$73,-0.02,IF(AI132&lt;Valores!$F$73,-0.03,-0.04))*AI132</f>
        <v>-9461.02124</v>
      </c>
      <c r="AR132" s="125">
        <f>AI132*Valores!$C$75</f>
        <v>-26017.808410000001</v>
      </c>
      <c r="AS132" s="125">
        <f>Valores!$C$102</f>
        <v>-1270.1600000000001</v>
      </c>
      <c r="AT132" s="125">
        <f>IF($F$5=0,Valores!$C$103,(Valores!$C$103+$F$5*(Valores!$C$103)))</f>
        <v>-3700</v>
      </c>
      <c r="AU132" s="125">
        <f t="shared" si="17"/>
        <v>415566.45553000004</v>
      </c>
      <c r="AV132" s="125">
        <f t="shared" si="11"/>
        <v>-52035.616820000003</v>
      </c>
      <c r="AW132" s="125">
        <f t="shared" si="18"/>
        <v>-9461.02124</v>
      </c>
      <c r="AX132" s="125">
        <f>AI132*Valores!$C$76</f>
        <v>-12772.378674000001</v>
      </c>
      <c r="AY132" s="125">
        <f>AI132*Valores!$C$77</f>
        <v>-1419.1531860000002</v>
      </c>
      <c r="AZ132" s="125">
        <f t="shared" si="15"/>
        <v>432362.89208000002</v>
      </c>
      <c r="BA132" s="125">
        <f>AI132*Valores!$C$79</f>
        <v>75688.16992</v>
      </c>
      <c r="BB132" s="125">
        <f>AI132*Valores!$C$80</f>
        <v>33113.574340000006</v>
      </c>
      <c r="BC132" s="125">
        <f>AI132*Valores!$C$81</f>
        <v>4730.51062</v>
      </c>
      <c r="BD132" s="125">
        <f>AI132*Valores!$C$83</f>
        <v>16556.787170000003</v>
      </c>
      <c r="BE132" s="125">
        <f>AI132*Valores!$C$85</f>
        <v>25544.757348000003</v>
      </c>
      <c r="BF132" s="125">
        <f>AI132*Valores!$C$84</f>
        <v>2838.3063720000005</v>
      </c>
      <c r="BG132" s="126"/>
      <c r="BH132" s="126">
        <v>20</v>
      </c>
      <c r="BI132" s="123" t="s">
        <v>4</v>
      </c>
    </row>
    <row r="133" spans="1:61" s="110" customFormat="1" ht="11.25" customHeight="1" x14ac:dyDescent="0.15">
      <c r="A133" s="123" t="s">
        <v>351</v>
      </c>
      <c r="B133" s="123">
        <v>1</v>
      </c>
      <c r="C133" s="126">
        <v>126</v>
      </c>
      <c r="D133" s="124" t="s">
        <v>352</v>
      </c>
      <c r="E133" s="192">
        <v>936</v>
      </c>
      <c r="F133" s="125">
        <f>ROUND(E133*Valores!$C$2,2)</f>
        <v>72630.509999999995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33791.07</v>
      </c>
      <c r="N133" s="125">
        <f t="shared" si="12"/>
        <v>0</v>
      </c>
      <c r="O133" s="125">
        <f>Valores!$C$16</f>
        <v>67049.36</v>
      </c>
      <c r="P133" s="125">
        <f>Valores!$D$5</f>
        <v>39667.43</v>
      </c>
      <c r="Q133" s="125">
        <f>Valores!$C$23</f>
        <v>32936.269999999997</v>
      </c>
      <c r="R133" s="125">
        <f>IF($F$4="NO",Valores!$C$44,Valores!$C$44/2)</f>
        <v>26002.29</v>
      </c>
      <c r="S133" s="125">
        <f>Valores!$C$20</f>
        <v>36531.46</v>
      </c>
      <c r="T133" s="125">
        <f t="shared" si="19"/>
        <v>36531.46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Valores!$C$96</f>
        <v>54315.88</v>
      </c>
      <c r="AA133" s="125">
        <f>Valores!$C$25</f>
        <v>1622.32</v>
      </c>
      <c r="AB133" s="214">
        <v>0</v>
      </c>
      <c r="AC133" s="125">
        <f t="shared" si="13"/>
        <v>0</v>
      </c>
      <c r="AD133" s="125">
        <f>Valores!$C$26</f>
        <v>1622.32</v>
      </c>
      <c r="AE133" s="192">
        <v>94</v>
      </c>
      <c r="AF133" s="125">
        <f>ROUND(AE133*Valores!$C$2,2)</f>
        <v>7294.09</v>
      </c>
      <c r="AG133" s="125">
        <f>ROUND(IF($F$4="NO",Valores!$C$64,Valores!$C$64/2),2)</f>
        <v>18547.32</v>
      </c>
      <c r="AH133" s="125">
        <f>SUM(F133,H133,J133,L133,M133,N133,O133,P133,Q133,R133,T133,U133,V133,X133,Y133,Z133,AA133,AC133,AD133,AF133,AG133)*Valores!$C$104</f>
        <v>39201.032000000007</v>
      </c>
      <c r="AI133" s="125">
        <f t="shared" si="16"/>
        <v>431211.35200000007</v>
      </c>
      <c r="AJ133" s="125">
        <f>Valores!$C$31</f>
        <v>35000</v>
      </c>
      <c r="AK133" s="125">
        <v>0</v>
      </c>
      <c r="AL133" s="125">
        <f>Valores!$C$89</f>
        <v>0</v>
      </c>
      <c r="AM133" s="125">
        <f>Valores!C$39*B133</f>
        <v>0</v>
      </c>
      <c r="AN133" s="125">
        <f>IF($F$3="NO",0,Valores!$C$57)</f>
        <v>0</v>
      </c>
      <c r="AO133" s="125">
        <f t="shared" si="14"/>
        <v>35000</v>
      </c>
      <c r="AP133" s="125">
        <f>AI133*Valores!$C$72</f>
        <v>-47433.248720000011</v>
      </c>
      <c r="AQ133" s="125">
        <f>IF(AI133&lt;Valores!$E$73,-0.02,IF(AI133&lt;Valores!$F$73,-0.03,-0.04))*AI133</f>
        <v>-8624.2270400000016</v>
      </c>
      <c r="AR133" s="125">
        <f>AI133*Valores!$C$75</f>
        <v>-23716.624360000005</v>
      </c>
      <c r="AS133" s="125">
        <f>Valores!$C$102</f>
        <v>-1270.1600000000001</v>
      </c>
      <c r="AT133" s="125">
        <f>IF($F$5=0,Valores!$C$103,(Valores!$C$103+$F$5*(Valores!$C$103)))</f>
        <v>-3700</v>
      </c>
      <c r="AU133" s="125">
        <f t="shared" si="17"/>
        <v>381467.09188000008</v>
      </c>
      <c r="AV133" s="125">
        <f t="shared" si="11"/>
        <v>-47433.248720000011</v>
      </c>
      <c r="AW133" s="125">
        <f t="shared" si="18"/>
        <v>-8624.2270400000016</v>
      </c>
      <c r="AX133" s="125">
        <f>AI133*Valores!$C$76</f>
        <v>-11642.706504000002</v>
      </c>
      <c r="AY133" s="125">
        <f>AI133*Valores!$C$77</f>
        <v>-1293.6340560000003</v>
      </c>
      <c r="AZ133" s="125">
        <f t="shared" si="15"/>
        <v>397217.53568000009</v>
      </c>
      <c r="BA133" s="125">
        <f>AI133*Valores!$C$79</f>
        <v>68993.816320000013</v>
      </c>
      <c r="BB133" s="125">
        <f>AI133*Valores!$C$80</f>
        <v>30184.794640000007</v>
      </c>
      <c r="BC133" s="125">
        <f>AI133*Valores!$C$81</f>
        <v>4312.1135200000008</v>
      </c>
      <c r="BD133" s="125">
        <f>AI133*Valores!$C$83</f>
        <v>15092.397320000004</v>
      </c>
      <c r="BE133" s="125">
        <f>AI133*Valores!$C$85</f>
        <v>23285.413008000003</v>
      </c>
      <c r="BF133" s="125">
        <f>AI133*Valores!$C$84</f>
        <v>2587.2681120000007</v>
      </c>
      <c r="BG133" s="126">
        <v>8</v>
      </c>
      <c r="BH133" s="126"/>
      <c r="BI133" s="123" t="s">
        <v>4</v>
      </c>
    </row>
    <row r="134" spans="1:61" s="110" customFormat="1" ht="11.25" customHeight="1" x14ac:dyDescent="0.15">
      <c r="A134" s="123" t="s">
        <v>353</v>
      </c>
      <c r="B134" s="123">
        <v>1</v>
      </c>
      <c r="C134" s="126">
        <v>127</v>
      </c>
      <c r="D134" s="124" t="s">
        <v>354</v>
      </c>
      <c r="E134" s="192">
        <v>1278</v>
      </c>
      <c r="F134" s="125">
        <f>ROUND(E134*Valores!$C$2,2)</f>
        <v>99168.58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40425.58</v>
      </c>
      <c r="N134" s="125">
        <f t="shared" si="12"/>
        <v>0</v>
      </c>
      <c r="O134" s="125">
        <f>Valores!$C$8</f>
        <v>97252.17</v>
      </c>
      <c r="P134" s="125">
        <f>Valores!$D$5</f>
        <v>39667.43</v>
      </c>
      <c r="Q134" s="125">
        <v>0</v>
      </c>
      <c r="R134" s="125">
        <f>IF($F$4="NO",Valores!$C$44,Valores!$C$44/2)</f>
        <v>26002.29</v>
      </c>
      <c r="S134" s="125">
        <f>Valores!$C$20</f>
        <v>36531.46</v>
      </c>
      <c r="T134" s="125">
        <f t="shared" si="19"/>
        <v>36531.46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Valores!$C$96</f>
        <v>54315.88</v>
      </c>
      <c r="AA134" s="125">
        <f>Valores!$C$25</f>
        <v>1622.32</v>
      </c>
      <c r="AB134" s="214">
        <v>0</v>
      </c>
      <c r="AC134" s="125">
        <f t="shared" si="13"/>
        <v>0</v>
      </c>
      <c r="AD134" s="125">
        <f>Valores!$C$26</f>
        <v>1622.32</v>
      </c>
      <c r="AE134" s="192">
        <v>94</v>
      </c>
      <c r="AF134" s="125">
        <f>ROUND(AE134*Valores!$C$2,2)</f>
        <v>7294.09</v>
      </c>
      <c r="AG134" s="125">
        <f>ROUND(IF($F$4="NO",Valores!$C$64,Valores!$C$64/2),2)</f>
        <v>18547.32</v>
      </c>
      <c r="AH134" s="125">
        <f>SUM(F134,H134,J134,L134,M134,N134,O134,P134,Q134,R134,T134,U134,V134,X134,Y134,Z134,AA134,AC134,AD134,AF134,AG134)*Valores!$C$104</f>
        <v>42244.94400000001</v>
      </c>
      <c r="AI134" s="125">
        <f t="shared" si="16"/>
        <v>464694.38400000008</v>
      </c>
      <c r="AJ134" s="125">
        <f>Valores!$C$31</f>
        <v>35000</v>
      </c>
      <c r="AK134" s="125">
        <v>0</v>
      </c>
      <c r="AL134" s="125">
        <f>Valores!$C$89</f>
        <v>0</v>
      </c>
      <c r="AM134" s="125">
        <f>Valores!C$39*B134</f>
        <v>0</v>
      </c>
      <c r="AN134" s="125">
        <f>IF($F$3="NO",0,Valores!$C$57)</f>
        <v>0</v>
      </c>
      <c r="AO134" s="125">
        <f t="shared" si="14"/>
        <v>35000</v>
      </c>
      <c r="AP134" s="125">
        <f>AI134*Valores!$C$72</f>
        <v>-51116.382240000006</v>
      </c>
      <c r="AQ134" s="125">
        <f>IF(AI134&lt;Valores!$E$73,-0.02,IF(AI134&lt;Valores!$F$73,-0.03,-0.04))*AI134</f>
        <v>-9293.8876800000016</v>
      </c>
      <c r="AR134" s="125">
        <f>AI134*Valores!$C$75</f>
        <v>-25558.191120000003</v>
      </c>
      <c r="AS134" s="125">
        <f>Valores!$C$102</f>
        <v>-1270.1600000000001</v>
      </c>
      <c r="AT134" s="125">
        <f>IF($F$5=0,Valores!$C$103,(Valores!$C$103+$F$5*(Valores!$C$103)))</f>
        <v>-3700</v>
      </c>
      <c r="AU134" s="125">
        <f t="shared" si="17"/>
        <v>408755.76296000008</v>
      </c>
      <c r="AV134" s="125">
        <f t="shared" ref="AV134:AV196" si="20">AP134</f>
        <v>-51116.382240000006</v>
      </c>
      <c r="AW134" s="125">
        <f t="shared" si="18"/>
        <v>-9293.8876800000016</v>
      </c>
      <c r="AX134" s="125">
        <f>AI134*Valores!$C$76</f>
        <v>-12546.748368000002</v>
      </c>
      <c r="AY134" s="125">
        <f>AI134*Valores!$C$77</f>
        <v>-1394.0831520000002</v>
      </c>
      <c r="AZ134" s="125">
        <f t="shared" si="15"/>
        <v>425343.28256000008</v>
      </c>
      <c r="BA134" s="125">
        <f>AI134*Valores!$C$79</f>
        <v>74351.101440000013</v>
      </c>
      <c r="BB134" s="125">
        <f>AI134*Valores!$C$80</f>
        <v>32528.60688000001</v>
      </c>
      <c r="BC134" s="125">
        <f>AI134*Valores!$C$81</f>
        <v>4646.9438400000008</v>
      </c>
      <c r="BD134" s="125">
        <f>AI134*Valores!$C$83</f>
        <v>16264.303440000005</v>
      </c>
      <c r="BE134" s="125">
        <f>AI134*Valores!$C$85</f>
        <v>25093.496736000005</v>
      </c>
      <c r="BF134" s="125">
        <f>AI134*Valores!$C$84</f>
        <v>2788.1663040000003</v>
      </c>
      <c r="BG134" s="126"/>
      <c r="BH134" s="126">
        <v>22</v>
      </c>
      <c r="BI134" s="123" t="s">
        <v>4</v>
      </c>
    </row>
    <row r="135" spans="1:61" s="110" customFormat="1" ht="11.25" customHeight="1" x14ac:dyDescent="0.15">
      <c r="A135" s="123" t="s">
        <v>355</v>
      </c>
      <c r="B135" s="123">
        <v>1</v>
      </c>
      <c r="C135" s="126">
        <v>128</v>
      </c>
      <c r="D135" s="124" t="s">
        <v>356</v>
      </c>
      <c r="E135" s="192">
        <v>1278</v>
      </c>
      <c r="F135" s="125">
        <f>ROUND(E135*Valores!$C$2,2)</f>
        <v>99168.58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40908.06</v>
      </c>
      <c r="N135" s="125">
        <f t="shared" si="12"/>
        <v>0</v>
      </c>
      <c r="O135" s="125">
        <f>Valores!$C$8</f>
        <v>97252.17</v>
      </c>
      <c r="P135" s="125">
        <f>Valores!$D$5</f>
        <v>39667.43</v>
      </c>
      <c r="Q135" s="125">
        <f>Valores!$C$22</f>
        <v>35387.42</v>
      </c>
      <c r="R135" s="125">
        <f>IF($F$4="NO",Valores!$C$45,Valores!$C$45/2)</f>
        <v>27554.83</v>
      </c>
      <c r="S135" s="125">
        <f>Valores!$C$19</f>
        <v>36908.81</v>
      </c>
      <c r="T135" s="125">
        <f t="shared" si="19"/>
        <v>36908.81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Valores!$C$96</f>
        <v>54315.88</v>
      </c>
      <c r="AA135" s="125">
        <f>Valores!$C$25</f>
        <v>1622.32</v>
      </c>
      <c r="AB135" s="214">
        <v>0</v>
      </c>
      <c r="AC135" s="125">
        <f t="shared" si="13"/>
        <v>0</v>
      </c>
      <c r="AD135" s="125">
        <f>Valores!$C$26</f>
        <v>1622.32</v>
      </c>
      <c r="AE135" s="192">
        <v>0</v>
      </c>
      <c r="AF135" s="125">
        <f>ROUND(AE135*Valores!$C$2,2)</f>
        <v>0</v>
      </c>
      <c r="AG135" s="125">
        <f>ROUND(IF($F$4="NO",Valores!$C$64,Valores!$C$64/2),2)</f>
        <v>18547.32</v>
      </c>
      <c r="AH135" s="125">
        <f>SUM(F135,H135,J135,L135,M135,N135,O135,P135,Q135,R135,T135,U135,V135,X135,Y135,Z135,AA135,AC135,AD135,AF135,AG135)*Valores!$C$104</f>
        <v>45295.514000000003</v>
      </c>
      <c r="AI135" s="125">
        <f t="shared" si="16"/>
        <v>498250.65400000004</v>
      </c>
      <c r="AJ135" s="125">
        <f>Valores!$C$31</f>
        <v>35000</v>
      </c>
      <c r="AK135" s="125">
        <v>0</v>
      </c>
      <c r="AL135" s="125">
        <f>Valores!$C$89</f>
        <v>0</v>
      </c>
      <c r="AM135" s="125">
        <f>Valores!C$39*B135</f>
        <v>0</v>
      </c>
      <c r="AN135" s="125">
        <f>IF($F$3="NO",0,Valores!$C$57)</f>
        <v>0</v>
      </c>
      <c r="AO135" s="125">
        <f t="shared" si="14"/>
        <v>35000</v>
      </c>
      <c r="AP135" s="125">
        <f>AI135*Valores!$C$72</f>
        <v>-54807.571940000002</v>
      </c>
      <c r="AQ135" s="125">
        <f>IF(AI135&lt;Valores!$E$73,-0.02,IF(AI135&lt;Valores!$F$73,-0.03,-0.04))*AI135</f>
        <v>-9965.0130800000006</v>
      </c>
      <c r="AR135" s="125">
        <f>AI135*Valores!$C$75</f>
        <v>-27403.785970000001</v>
      </c>
      <c r="AS135" s="125">
        <f>Valores!$C$102</f>
        <v>-1270.1600000000001</v>
      </c>
      <c r="AT135" s="125">
        <f>IF($F$5=0,Valores!$C$103,(Valores!$C$103+$F$5*(Valores!$C$103)))</f>
        <v>-3700</v>
      </c>
      <c r="AU135" s="125">
        <f t="shared" si="17"/>
        <v>436104.12301000004</v>
      </c>
      <c r="AV135" s="125">
        <f t="shared" si="20"/>
        <v>-54807.571940000002</v>
      </c>
      <c r="AW135" s="125">
        <f t="shared" si="18"/>
        <v>-9965.0130800000006</v>
      </c>
      <c r="AX135" s="125">
        <f>AI135*Valores!$C$76</f>
        <v>-13452.767658000001</v>
      </c>
      <c r="AY135" s="125">
        <f>AI135*Valores!$C$77</f>
        <v>-1494.751962</v>
      </c>
      <c r="AZ135" s="125">
        <f t="shared" si="15"/>
        <v>453530.54936000012</v>
      </c>
      <c r="BA135" s="125">
        <f>AI135*Valores!$C$79</f>
        <v>79720.104640000005</v>
      </c>
      <c r="BB135" s="125">
        <f>AI135*Valores!$C$80</f>
        <v>34877.545780000008</v>
      </c>
      <c r="BC135" s="125">
        <f>AI135*Valores!$C$81</f>
        <v>4982.5065400000003</v>
      </c>
      <c r="BD135" s="125">
        <f>AI135*Valores!$C$83</f>
        <v>17438.772890000004</v>
      </c>
      <c r="BE135" s="125">
        <f>AI135*Valores!$C$85</f>
        <v>26905.535316000001</v>
      </c>
      <c r="BF135" s="125">
        <f>AI135*Valores!$C$84</f>
        <v>2989.5039240000001</v>
      </c>
      <c r="BG135" s="126"/>
      <c r="BH135" s="126"/>
      <c r="BI135" s="123" t="s">
        <v>4</v>
      </c>
    </row>
    <row r="136" spans="1:61" s="110" customFormat="1" ht="11.25" customHeight="1" x14ac:dyDescent="0.15">
      <c r="A136" s="123" t="s">
        <v>357</v>
      </c>
      <c r="B136" s="123">
        <v>1</v>
      </c>
      <c r="C136" s="126">
        <v>129</v>
      </c>
      <c r="D136" s="124" t="s">
        <v>358</v>
      </c>
      <c r="E136" s="192">
        <v>1278</v>
      </c>
      <c r="F136" s="125">
        <f>ROUND(E136*Valores!$C$2,2)</f>
        <v>99168.58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40908.06</v>
      </c>
      <c r="N136" s="125">
        <f t="shared" ref="N136:N199" si="21">ROUND(SUM(F136,H136,J136,L136,X136,R136)*$H$2,2)</f>
        <v>0</v>
      </c>
      <c r="O136" s="125">
        <f>Valores!$C$8</f>
        <v>97252.17</v>
      </c>
      <c r="P136" s="125">
        <f>Valores!$D$5</f>
        <v>39667.43</v>
      </c>
      <c r="Q136" s="125">
        <f>Valores!$C$22</f>
        <v>35387.42</v>
      </c>
      <c r="R136" s="125">
        <f>IF($F$4="NO",Valores!$C$45,Valores!$C$45/2)</f>
        <v>27554.83</v>
      </c>
      <c r="S136" s="125">
        <f>Valores!$C$19</f>
        <v>36908.81</v>
      </c>
      <c r="T136" s="125">
        <f t="shared" si="19"/>
        <v>36908.81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Valores!$C$96</f>
        <v>54315.88</v>
      </c>
      <c r="AA136" s="125">
        <f>Valores!$C$25</f>
        <v>1622.32</v>
      </c>
      <c r="AB136" s="214">
        <v>0</v>
      </c>
      <c r="AC136" s="125">
        <f t="shared" ref="AC136:AC199" si="22">ROUND(SUM(F136,H136,J136,X136,R136)*AB136,2)</f>
        <v>0</v>
      </c>
      <c r="AD136" s="125">
        <f>Valores!$C$26</f>
        <v>1622.32</v>
      </c>
      <c r="AE136" s="192">
        <v>0</v>
      </c>
      <c r="AF136" s="125">
        <f>ROUND(AE136*Valores!$C$2,2)</f>
        <v>0</v>
      </c>
      <c r="AG136" s="125">
        <f>ROUND(IF($F$4="NO",Valores!$C$64,Valores!$C$64/2),2)</f>
        <v>18547.32</v>
      </c>
      <c r="AH136" s="125">
        <f>SUM(F136,H136,J136,L136,M136,N136,O136,P136,Q136,R136,T136,U136,V136,X136,Y136,Z136,AA136,AC136,AD136,AF136,AG136)*Valores!$C$104</f>
        <v>45295.514000000003</v>
      </c>
      <c r="AI136" s="125">
        <f t="shared" si="16"/>
        <v>498250.65400000004</v>
      </c>
      <c r="AJ136" s="125">
        <f>Valores!$C$31</f>
        <v>35000</v>
      </c>
      <c r="AK136" s="125">
        <v>0</v>
      </c>
      <c r="AL136" s="125">
        <f>Valores!$C$89</f>
        <v>0</v>
      </c>
      <c r="AM136" s="125">
        <f>Valores!C$39*B136</f>
        <v>0</v>
      </c>
      <c r="AN136" s="125">
        <f>IF($F$3="NO",0,Valores!$C$57)</f>
        <v>0</v>
      </c>
      <c r="AO136" s="125">
        <f t="shared" ref="AO136:AO199" si="23">SUM(AJ136:AN136)</f>
        <v>35000</v>
      </c>
      <c r="AP136" s="125">
        <f>AI136*Valores!$C$72</f>
        <v>-54807.571940000002</v>
      </c>
      <c r="AQ136" s="125">
        <f>IF(AI136&lt;Valores!$E$73,-0.02,IF(AI136&lt;Valores!$F$73,-0.03,-0.04))*AI136</f>
        <v>-9965.0130800000006</v>
      </c>
      <c r="AR136" s="125">
        <f>AI136*Valores!$C$75</f>
        <v>-27403.785970000001</v>
      </c>
      <c r="AS136" s="125">
        <f>Valores!$C$102</f>
        <v>-1270.1600000000001</v>
      </c>
      <c r="AT136" s="125">
        <f>IF($F$5=0,Valores!$C$103,(Valores!$C$103+$F$5*(Valores!$C$103)))</f>
        <v>-3700</v>
      </c>
      <c r="AU136" s="125">
        <f t="shared" si="17"/>
        <v>436104.12301000004</v>
      </c>
      <c r="AV136" s="125">
        <f t="shared" si="20"/>
        <v>-54807.571940000002</v>
      </c>
      <c r="AW136" s="125">
        <f t="shared" si="18"/>
        <v>-9965.0130800000006</v>
      </c>
      <c r="AX136" s="125">
        <f>AI136*Valores!$C$76</f>
        <v>-13452.767658000001</v>
      </c>
      <c r="AY136" s="125">
        <f>AI136*Valores!$C$77</f>
        <v>-1494.751962</v>
      </c>
      <c r="AZ136" s="125">
        <f t="shared" ref="AZ136:AZ199" si="24">AI136+AO136+SUM(AV136:AY136)</f>
        <v>453530.54936000012</v>
      </c>
      <c r="BA136" s="125">
        <f>AI136*Valores!$C$79</f>
        <v>79720.104640000005</v>
      </c>
      <c r="BB136" s="125">
        <f>AI136*Valores!$C$80</f>
        <v>34877.545780000008</v>
      </c>
      <c r="BC136" s="125">
        <f>AI136*Valores!$C$81</f>
        <v>4982.5065400000003</v>
      </c>
      <c r="BD136" s="125">
        <f>AI136*Valores!$C$83</f>
        <v>17438.772890000004</v>
      </c>
      <c r="BE136" s="125">
        <f>AI136*Valores!$C$85</f>
        <v>26905.535316000001</v>
      </c>
      <c r="BF136" s="125">
        <f>AI136*Valores!$C$84</f>
        <v>2989.5039240000001</v>
      </c>
      <c r="BG136" s="126"/>
      <c r="BH136" s="126"/>
      <c r="BI136" s="123" t="s">
        <v>4</v>
      </c>
    </row>
    <row r="137" spans="1:61" s="110" customFormat="1" ht="11.25" customHeight="1" x14ac:dyDescent="0.15">
      <c r="A137" s="123" t="s">
        <v>359</v>
      </c>
      <c r="B137" s="123">
        <v>1</v>
      </c>
      <c r="C137" s="126">
        <v>130</v>
      </c>
      <c r="D137" s="124" t="s">
        <v>360</v>
      </c>
      <c r="E137" s="192">
        <v>1278</v>
      </c>
      <c r="F137" s="125">
        <f>ROUND(E137*Valores!$C$2,2)</f>
        <v>99168.58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40908.06</v>
      </c>
      <c r="N137" s="125">
        <f t="shared" si="21"/>
        <v>0</v>
      </c>
      <c r="O137" s="125">
        <f>Valores!$C$16</f>
        <v>67049.36</v>
      </c>
      <c r="P137" s="125">
        <f>Valores!$D$5</f>
        <v>39667.43</v>
      </c>
      <c r="Q137" s="125">
        <v>0</v>
      </c>
      <c r="R137" s="125">
        <f>IF($F$4="NO",Valores!$C$45,Valores!$C$45/2)</f>
        <v>27554.83</v>
      </c>
      <c r="S137" s="125">
        <f>Valores!$C$19</f>
        <v>36908.81</v>
      </c>
      <c r="T137" s="125">
        <f t="shared" si="19"/>
        <v>36908.81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Valores!$C$96</f>
        <v>54315.88</v>
      </c>
      <c r="AA137" s="125">
        <f>Valores!$C$25</f>
        <v>1622.32</v>
      </c>
      <c r="AB137" s="214">
        <v>0</v>
      </c>
      <c r="AC137" s="125">
        <f t="shared" si="22"/>
        <v>0</v>
      </c>
      <c r="AD137" s="125">
        <f>Valores!$C$26</f>
        <v>1622.32</v>
      </c>
      <c r="AE137" s="192">
        <v>0</v>
      </c>
      <c r="AF137" s="125">
        <f>ROUND(AE137*Valores!$C$2,2)</f>
        <v>0</v>
      </c>
      <c r="AG137" s="125">
        <f>ROUND(IF($F$4="NO",Valores!$C$64,Valores!$C$64/2),2)</f>
        <v>18547.32</v>
      </c>
      <c r="AH137" s="125">
        <f>SUM(F137,H137,J137,L137,M137,N137,O137,P137,Q137,R137,T137,U137,V137,X137,Y137,Z137,AA137,AC137,AD137,AF137,AG137)*Valores!$C$104</f>
        <v>38736.491000000002</v>
      </c>
      <c r="AI137" s="125">
        <f t="shared" ref="AI137:AI200" si="25">SUM(F137,H137,J137,L137,M137,N137,O137,P137,Q137,R137,T137,U137,V137,X137,Y137,Z137,AA137,AC137,AD137,AF137,AG137,AH137)</f>
        <v>426101.40100000001</v>
      </c>
      <c r="AJ137" s="125">
        <f>Valores!$C$31</f>
        <v>35000</v>
      </c>
      <c r="AK137" s="125">
        <v>0</v>
      </c>
      <c r="AL137" s="125">
        <f>Valores!$C$89</f>
        <v>0</v>
      </c>
      <c r="AM137" s="125">
        <f>Valores!C$39*B137</f>
        <v>0</v>
      </c>
      <c r="AN137" s="125">
        <f>IF($F$3="NO",0,Valores!$C$57)</f>
        <v>0</v>
      </c>
      <c r="AO137" s="125">
        <f t="shared" si="23"/>
        <v>35000</v>
      </c>
      <c r="AP137" s="125">
        <f>AI137*Valores!$C$72</f>
        <v>-46871.154110000003</v>
      </c>
      <c r="AQ137" s="125">
        <f>IF(AI137&lt;Valores!$E$73,-0.02,IF(AI137&lt;Valores!$F$73,-0.03,-0.04))*AI137</f>
        <v>-8522.0280199999997</v>
      </c>
      <c r="AR137" s="125">
        <f>AI137*Valores!$C$75</f>
        <v>-23435.577055000002</v>
      </c>
      <c r="AS137" s="125">
        <f>Valores!$C$102</f>
        <v>-1270.1600000000001</v>
      </c>
      <c r="AT137" s="125">
        <f>IF($F$5=0,Valores!$C$103,(Valores!$C$103+$F$5*(Valores!$C$103)))</f>
        <v>-3700</v>
      </c>
      <c r="AU137" s="125">
        <f t="shared" ref="AU137:AU200" si="26">AI137+SUM(AO137:AT137)</f>
        <v>377302.48181500001</v>
      </c>
      <c r="AV137" s="125">
        <f t="shared" si="20"/>
        <v>-46871.154110000003</v>
      </c>
      <c r="AW137" s="125">
        <f t="shared" ref="AW137:AW200" si="27">AQ137</f>
        <v>-8522.0280199999997</v>
      </c>
      <c r="AX137" s="125">
        <f>AI137*Valores!$C$76</f>
        <v>-11504.737827000001</v>
      </c>
      <c r="AY137" s="125">
        <f>AI137*Valores!$C$77</f>
        <v>-1278.3042030000001</v>
      </c>
      <c r="AZ137" s="125">
        <f t="shared" si="24"/>
        <v>392925.17683999997</v>
      </c>
      <c r="BA137" s="125">
        <f>AI137*Valores!$C$79</f>
        <v>68176.224159999998</v>
      </c>
      <c r="BB137" s="125">
        <f>AI137*Valores!$C$80</f>
        <v>29827.098070000004</v>
      </c>
      <c r="BC137" s="125">
        <f>AI137*Valores!$C$81</f>
        <v>4261.0140099999999</v>
      </c>
      <c r="BD137" s="125">
        <f>AI137*Valores!$C$83</f>
        <v>14913.549035000002</v>
      </c>
      <c r="BE137" s="125">
        <f>AI137*Valores!$C$85</f>
        <v>23009.475654000002</v>
      </c>
      <c r="BF137" s="125">
        <f>AI137*Valores!$C$84</f>
        <v>2556.6084060000003</v>
      </c>
      <c r="BG137" s="126">
        <v>12</v>
      </c>
      <c r="BH137" s="126">
        <v>15</v>
      </c>
      <c r="BI137" s="123" t="s">
        <v>8</v>
      </c>
    </row>
    <row r="138" spans="1:61" s="110" customFormat="1" ht="11.25" customHeight="1" x14ac:dyDescent="0.15">
      <c r="A138" s="123" t="s">
        <v>361</v>
      </c>
      <c r="B138" s="123">
        <v>1</v>
      </c>
      <c r="C138" s="126">
        <v>131</v>
      </c>
      <c r="D138" s="124" t="s">
        <v>362</v>
      </c>
      <c r="E138" s="192">
        <v>616</v>
      </c>
      <c r="F138" s="125">
        <f>ROUND(E138*Valores!$C$2,2)</f>
        <v>47799.57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28065.8</v>
      </c>
      <c r="N138" s="125">
        <f t="shared" si="21"/>
        <v>0</v>
      </c>
      <c r="O138" s="125">
        <f>Valores!$C$8</f>
        <v>97252.17</v>
      </c>
      <c r="P138" s="125">
        <f>Valores!$D$5</f>
        <v>39667.43</v>
      </c>
      <c r="Q138" s="125">
        <f>Valores!$C$22</f>
        <v>35387.42</v>
      </c>
      <c r="R138" s="125">
        <f>IF($F$4="NO",Valores!$C$45,Valores!$C$45/2)</f>
        <v>27554.83</v>
      </c>
      <c r="S138" s="125">
        <f>Valores!$C$19</f>
        <v>36908.81</v>
      </c>
      <c r="T138" s="125">
        <f t="shared" si="19"/>
        <v>36908.81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Valores!$C$96</f>
        <v>54315.88</v>
      </c>
      <c r="AA138" s="125">
        <f>Valores!$C$25</f>
        <v>1622.32</v>
      </c>
      <c r="AB138" s="214">
        <v>0</v>
      </c>
      <c r="AC138" s="125">
        <f t="shared" si="22"/>
        <v>0</v>
      </c>
      <c r="AD138" s="125">
        <f>Valores!$C$26</f>
        <v>1622.32</v>
      </c>
      <c r="AE138" s="192">
        <v>0</v>
      </c>
      <c r="AF138" s="125">
        <f>ROUND(AE138*Valores!$C$2,2)</f>
        <v>0</v>
      </c>
      <c r="AG138" s="125">
        <f>ROUND(IF($F$4="NO",Valores!$C$64,Valores!$C$64/2),2)</f>
        <v>18547.32</v>
      </c>
      <c r="AH138" s="125">
        <f>SUM(F138,H138,J138,L138,M138,N138,O138,P138,Q138,R138,T138,U138,V138,X138,Y138,Z138,AA138,AC138,AD138,AF138,AG138)*Valores!$C$104</f>
        <v>38874.387000000002</v>
      </c>
      <c r="AI138" s="125">
        <f t="shared" si="25"/>
        <v>427618.25699999998</v>
      </c>
      <c r="AJ138" s="125">
        <f>Valores!$C$31</f>
        <v>35000</v>
      </c>
      <c r="AK138" s="125">
        <v>0</v>
      </c>
      <c r="AL138" s="125">
        <f>Valores!$C$89</f>
        <v>0</v>
      </c>
      <c r="AM138" s="125">
        <f>Valores!C$39*B138</f>
        <v>0</v>
      </c>
      <c r="AN138" s="125">
        <f>IF($F$3="NO",0,Valores!$C$57)</f>
        <v>0</v>
      </c>
      <c r="AO138" s="125">
        <f t="shared" si="23"/>
        <v>35000</v>
      </c>
      <c r="AP138" s="125">
        <f>AI138*Valores!$C$72</f>
        <v>-47038.008269999998</v>
      </c>
      <c r="AQ138" s="125">
        <f>IF(AI138&lt;Valores!$E$73,-0.02,IF(AI138&lt;Valores!$F$73,-0.03,-0.04))*AI138</f>
        <v>-8552.3651399999999</v>
      </c>
      <c r="AR138" s="125">
        <f>AI138*Valores!$C$75</f>
        <v>-23519.004134999999</v>
      </c>
      <c r="AS138" s="125">
        <f>Valores!$C$102</f>
        <v>-1270.1600000000001</v>
      </c>
      <c r="AT138" s="125">
        <f>IF($F$5=0,Valores!$C$103,(Valores!$C$103+$F$5*(Valores!$C$103)))</f>
        <v>-3700</v>
      </c>
      <c r="AU138" s="125">
        <f t="shared" si="26"/>
        <v>378538.71945500001</v>
      </c>
      <c r="AV138" s="125">
        <f t="shared" si="20"/>
        <v>-47038.008269999998</v>
      </c>
      <c r="AW138" s="125">
        <f t="shared" si="27"/>
        <v>-8552.3651399999999</v>
      </c>
      <c r="AX138" s="125">
        <f>AI138*Valores!$C$76</f>
        <v>-11545.692938999999</v>
      </c>
      <c r="AY138" s="125">
        <f>AI138*Valores!$C$77</f>
        <v>-1282.854771</v>
      </c>
      <c r="AZ138" s="125">
        <f t="shared" si="24"/>
        <v>394199.33587999997</v>
      </c>
      <c r="BA138" s="125">
        <f>AI138*Valores!$C$79</f>
        <v>68418.921119999999</v>
      </c>
      <c r="BB138" s="125">
        <f>AI138*Valores!$C$80</f>
        <v>29933.277990000002</v>
      </c>
      <c r="BC138" s="125">
        <f>AI138*Valores!$C$81</f>
        <v>4276.1825699999999</v>
      </c>
      <c r="BD138" s="125">
        <f>AI138*Valores!$C$83</f>
        <v>14966.638995000001</v>
      </c>
      <c r="BE138" s="125">
        <f>AI138*Valores!$C$85</f>
        <v>23091.385877999997</v>
      </c>
      <c r="BF138" s="125">
        <f>AI138*Valores!$C$84</f>
        <v>2565.7095420000001</v>
      </c>
      <c r="BG138" s="126">
        <v>6</v>
      </c>
      <c r="BH138" s="126"/>
      <c r="BI138" s="123" t="s">
        <v>4</v>
      </c>
    </row>
    <row r="139" spans="1:61" s="110" customFormat="1" ht="11.25" customHeight="1" x14ac:dyDescent="0.15">
      <c r="A139" s="123" t="s">
        <v>363</v>
      </c>
      <c r="B139" s="123">
        <v>1</v>
      </c>
      <c r="C139" s="126">
        <v>132</v>
      </c>
      <c r="D139" s="124" t="s">
        <v>364</v>
      </c>
      <c r="E139" s="192">
        <v>1278</v>
      </c>
      <c r="F139" s="125">
        <f>ROUND(E139*Valores!$C$2,2)</f>
        <v>99168.58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40813.72</v>
      </c>
      <c r="N139" s="125">
        <f t="shared" si="21"/>
        <v>0</v>
      </c>
      <c r="O139" s="125">
        <f>Valores!$C$16</f>
        <v>67049.36</v>
      </c>
      <c r="P139" s="125">
        <f>Valores!$D$5</f>
        <v>39667.43</v>
      </c>
      <c r="Q139" s="125">
        <v>0</v>
      </c>
      <c r="R139" s="125">
        <f>IF($F$4="NO",Valores!$C$45,Valores!$C$45/2)</f>
        <v>27554.83</v>
      </c>
      <c r="S139" s="125">
        <f>Valores!$C$20</f>
        <v>36531.46</v>
      </c>
      <c r="T139" s="125">
        <f t="shared" ref="T139:T202" si="28">ROUND(S139*(1+$H$2),2)</f>
        <v>36531.46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Valores!$C$96</f>
        <v>54315.88</v>
      </c>
      <c r="AA139" s="125">
        <f>Valores!$C$25</f>
        <v>1622.32</v>
      </c>
      <c r="AB139" s="214">
        <v>0</v>
      </c>
      <c r="AC139" s="125">
        <f t="shared" si="22"/>
        <v>0</v>
      </c>
      <c r="AD139" s="125">
        <f>Valores!$C$26</f>
        <v>1622.32</v>
      </c>
      <c r="AE139" s="192">
        <v>0</v>
      </c>
      <c r="AF139" s="125">
        <f>ROUND(AE139*Valores!$C$2,2)</f>
        <v>0</v>
      </c>
      <c r="AG139" s="125">
        <f>ROUND(IF($F$4="NO",Valores!$C$64,Valores!$C$64/2),2)</f>
        <v>18547.32</v>
      </c>
      <c r="AH139" s="125">
        <f>SUM(F139,H139,J139,L139,M139,N139,O139,P139,Q139,R139,T139,U139,V139,X139,Y139,Z139,AA139,AC139,AD139,AF139,AG139)*Valores!$C$104</f>
        <v>38689.322000000007</v>
      </c>
      <c r="AI139" s="125">
        <f t="shared" si="25"/>
        <v>425582.54200000002</v>
      </c>
      <c r="AJ139" s="125">
        <f>Valores!$C$31</f>
        <v>35000</v>
      </c>
      <c r="AK139" s="125">
        <v>0</v>
      </c>
      <c r="AL139" s="125">
        <f>Valores!$C$89</f>
        <v>0</v>
      </c>
      <c r="AM139" s="125">
        <f>Valores!C$39*B139</f>
        <v>0</v>
      </c>
      <c r="AN139" s="125">
        <f>(IF($F$3="NO",0,Valores!$C$59))</f>
        <v>0</v>
      </c>
      <c r="AO139" s="125">
        <f t="shared" si="23"/>
        <v>35000</v>
      </c>
      <c r="AP139" s="125">
        <f>AI139*Valores!$C$72</f>
        <v>-46814.079620000004</v>
      </c>
      <c r="AQ139" s="125">
        <f>IF(AI139&lt;Valores!$E$73,-0.02,IF(AI139&lt;Valores!$F$73,-0.03,-0.04))*AI139</f>
        <v>-8511.6508400000002</v>
      </c>
      <c r="AR139" s="125">
        <f>AI139*Valores!$C$75</f>
        <v>-23407.039810000002</v>
      </c>
      <c r="AS139" s="125">
        <f>Valores!$C$102</f>
        <v>-1270.1600000000001</v>
      </c>
      <c r="AT139" s="125">
        <f>IF($F$5=0,Valores!$C$103,(Valores!$C$103+$F$5*(Valores!$C$103)))</f>
        <v>-3700</v>
      </c>
      <c r="AU139" s="125">
        <f t="shared" si="26"/>
        <v>376879.61173</v>
      </c>
      <c r="AV139" s="125">
        <f t="shared" si="20"/>
        <v>-46814.079620000004</v>
      </c>
      <c r="AW139" s="125">
        <f t="shared" si="27"/>
        <v>-8511.6508400000002</v>
      </c>
      <c r="AX139" s="125">
        <f>AI139*Valores!$C$76</f>
        <v>-11490.728634000001</v>
      </c>
      <c r="AY139" s="125">
        <f>AI139*Valores!$C$77</f>
        <v>-1276.7476260000001</v>
      </c>
      <c r="AZ139" s="125">
        <f t="shared" si="24"/>
        <v>392489.33528</v>
      </c>
      <c r="BA139" s="125">
        <f>AI139*Valores!$C$79</f>
        <v>68093.206720000002</v>
      </c>
      <c r="BB139" s="125">
        <f>AI139*Valores!$C$80</f>
        <v>29790.777940000004</v>
      </c>
      <c r="BC139" s="125">
        <f>AI139*Valores!$C$81</f>
        <v>4255.8254200000001</v>
      </c>
      <c r="BD139" s="125">
        <f>AI139*Valores!$C$83</f>
        <v>14895.388970000002</v>
      </c>
      <c r="BE139" s="125">
        <f>AI139*Valores!$C$85</f>
        <v>22981.457268000002</v>
      </c>
      <c r="BF139" s="125">
        <f>AI139*Valores!$C$84</f>
        <v>2553.4952520000002</v>
      </c>
      <c r="BG139" s="126">
        <v>12</v>
      </c>
      <c r="BH139" s="126">
        <v>15</v>
      </c>
      <c r="BI139" s="123" t="s">
        <v>4</v>
      </c>
    </row>
    <row r="140" spans="1:61" s="110" customFormat="1" ht="11.25" customHeight="1" x14ac:dyDescent="0.15">
      <c r="A140" s="123" t="s">
        <v>365</v>
      </c>
      <c r="B140" s="123">
        <v>1</v>
      </c>
      <c r="C140" s="126">
        <v>133</v>
      </c>
      <c r="D140" s="124" t="s">
        <v>366</v>
      </c>
      <c r="E140" s="192">
        <v>1983</v>
      </c>
      <c r="F140" s="125">
        <f>ROUND(E140*Valores!$C$2,2)</f>
        <v>153874.26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54584.480000000003</v>
      </c>
      <c r="N140" s="125">
        <f t="shared" si="21"/>
        <v>0</v>
      </c>
      <c r="O140" s="125">
        <f>Valores!$C$8</f>
        <v>97252.17</v>
      </c>
      <c r="P140" s="125">
        <f>Valores!$D$5</f>
        <v>39667.43</v>
      </c>
      <c r="Q140" s="125">
        <f>Valores!$C$22</f>
        <v>35387.42</v>
      </c>
      <c r="R140" s="125">
        <f>IF($F$4="NO",Valores!$C$45,Valores!$C$45/2)</f>
        <v>27554.83</v>
      </c>
      <c r="S140" s="125">
        <f>Valores!$C$19</f>
        <v>36908.81</v>
      </c>
      <c r="T140" s="125">
        <f t="shared" si="28"/>
        <v>36908.81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Valores!$C$96</f>
        <v>54315.88</v>
      </c>
      <c r="AA140" s="125">
        <f>Valores!$C$25</f>
        <v>1622.32</v>
      </c>
      <c r="AB140" s="214">
        <v>0</v>
      </c>
      <c r="AC140" s="125">
        <f t="shared" si="22"/>
        <v>0</v>
      </c>
      <c r="AD140" s="125">
        <f>Valores!$C$26</f>
        <v>1622.32</v>
      </c>
      <c r="AE140" s="192">
        <v>94</v>
      </c>
      <c r="AF140" s="125">
        <f>ROUND(AE140*Valores!$C$2,2)</f>
        <v>7294.09</v>
      </c>
      <c r="AG140" s="125">
        <f>ROUND(IF($F$4="NO",Valores!$C$64,Valores!$C$64/2),2)</f>
        <v>18547.32</v>
      </c>
      <c r="AH140" s="125">
        <f>SUM(F140,H140,J140,L140,M140,N140,O140,P140,Q140,R140,T140,U140,V140,X140,Y140,Z140,AA140,AC140,AD140,AF140,AG140)*Valores!$C$104</f>
        <v>52863.133000000009</v>
      </c>
      <c r="AI140" s="125">
        <f t="shared" si="25"/>
        <v>581494.46300000011</v>
      </c>
      <c r="AJ140" s="125">
        <f>Valores!$C$31</f>
        <v>35000</v>
      </c>
      <c r="AK140" s="125">
        <v>0</v>
      </c>
      <c r="AL140" s="125">
        <f>Valores!$C$89</f>
        <v>0</v>
      </c>
      <c r="AM140" s="125">
        <f>Valores!C$39*B140</f>
        <v>0</v>
      </c>
      <c r="AN140" s="125">
        <f>IF($F$3="NO",0,Valores!$C$57)</f>
        <v>0</v>
      </c>
      <c r="AO140" s="125">
        <f t="shared" si="23"/>
        <v>35000</v>
      </c>
      <c r="AP140" s="125">
        <f>AI140*Valores!$C$72</f>
        <v>-63964.390930000009</v>
      </c>
      <c r="AQ140" s="125">
        <f>IF(AI140&lt;Valores!$E$73,-0.02,IF(AI140&lt;Valores!$F$73,-0.03,-0.04))*AI140</f>
        <v>-11629.889260000002</v>
      </c>
      <c r="AR140" s="125">
        <f>AI140*Valores!$C$75</f>
        <v>-31982.195465000004</v>
      </c>
      <c r="AS140" s="125">
        <f>Valores!$C$102</f>
        <v>-1270.1600000000001</v>
      </c>
      <c r="AT140" s="125">
        <f>IF($F$5=0,Valores!$C$103,(Valores!$C$103+$F$5*(Valores!$C$103)))</f>
        <v>-3700</v>
      </c>
      <c r="AU140" s="125">
        <f t="shared" si="26"/>
        <v>503947.82734500011</v>
      </c>
      <c r="AV140" s="125">
        <f t="shared" si="20"/>
        <v>-63964.390930000009</v>
      </c>
      <c r="AW140" s="125">
        <f t="shared" si="27"/>
        <v>-11629.889260000002</v>
      </c>
      <c r="AX140" s="125">
        <f>AI140*Valores!$C$76</f>
        <v>-15700.350501000003</v>
      </c>
      <c r="AY140" s="125">
        <f>AI140*Valores!$C$77</f>
        <v>-1744.4833890000004</v>
      </c>
      <c r="AZ140" s="125">
        <f t="shared" si="24"/>
        <v>523455.34892000008</v>
      </c>
      <c r="BA140" s="125">
        <f>AI140*Valores!$C$79</f>
        <v>93039.114080000014</v>
      </c>
      <c r="BB140" s="125">
        <f>AI140*Valores!$C$80</f>
        <v>40704.612410000009</v>
      </c>
      <c r="BC140" s="125">
        <f>AI140*Valores!$C$81</f>
        <v>5814.9446300000009</v>
      </c>
      <c r="BD140" s="125">
        <f>AI140*Valores!$C$83</f>
        <v>20352.306205000004</v>
      </c>
      <c r="BE140" s="125">
        <f>AI140*Valores!$C$85</f>
        <v>31400.701002000005</v>
      </c>
      <c r="BF140" s="125">
        <f>AI140*Valores!$C$84</f>
        <v>3488.9667780000009</v>
      </c>
      <c r="BG140" s="126"/>
      <c r="BH140" s="126"/>
      <c r="BI140" s="123" t="s">
        <v>8</v>
      </c>
    </row>
    <row r="141" spans="1:61" s="110" customFormat="1" ht="11.25" customHeight="1" x14ac:dyDescent="0.15">
      <c r="A141" s="123" t="s">
        <v>367</v>
      </c>
      <c r="B141" s="123">
        <v>1</v>
      </c>
      <c r="C141" s="126">
        <v>134</v>
      </c>
      <c r="D141" s="124" t="s">
        <v>368</v>
      </c>
      <c r="E141" s="192">
        <v>1378</v>
      </c>
      <c r="F141" s="125">
        <f>ROUND(E141*Valores!$C$2,2)</f>
        <v>106928.25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42753.64</v>
      </c>
      <c r="N141" s="125">
        <f t="shared" si="21"/>
        <v>0</v>
      </c>
      <c r="O141" s="125">
        <f>Valores!$C$16</f>
        <v>67049.36</v>
      </c>
      <c r="P141" s="125">
        <f>Valores!$D$5</f>
        <v>39667.43</v>
      </c>
      <c r="Q141" s="125">
        <f>Valores!$C$22</f>
        <v>35387.42</v>
      </c>
      <c r="R141" s="125">
        <f>IF($F$4="NO",Valores!$C$45,Valores!$C$45/2)</f>
        <v>27554.83</v>
      </c>
      <c r="S141" s="125">
        <f>Valores!$C$20</f>
        <v>36531.46</v>
      </c>
      <c r="T141" s="125">
        <f t="shared" si="28"/>
        <v>36531.46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Valores!$C$96</f>
        <v>54315.88</v>
      </c>
      <c r="AA141" s="125">
        <f>Valores!$C$25</f>
        <v>1622.32</v>
      </c>
      <c r="AB141" s="214">
        <v>0</v>
      </c>
      <c r="AC141" s="125">
        <f t="shared" si="22"/>
        <v>0</v>
      </c>
      <c r="AD141" s="125">
        <f>Valores!$C$26</f>
        <v>1622.32</v>
      </c>
      <c r="AE141" s="192">
        <v>0</v>
      </c>
      <c r="AF141" s="125">
        <f>ROUND(AE141*Valores!$C$2,2)</f>
        <v>0</v>
      </c>
      <c r="AG141" s="125">
        <f>ROUND(IF($F$4="NO",Valores!$C$64,Valores!$C$64/2),2)</f>
        <v>18547.32</v>
      </c>
      <c r="AH141" s="125">
        <f>SUM(F141,H141,J141,L141,M141,N141,O141,P141,Q141,R141,T141,U141,V141,X141,Y141,Z141,AA141,AC141,AD141,AF141,AG141)*Valores!$C$104</f>
        <v>43198.023000000008</v>
      </c>
      <c r="AI141" s="125">
        <f t="shared" si="25"/>
        <v>475178.25300000003</v>
      </c>
      <c r="AJ141" s="125">
        <f>Valores!$C$31</f>
        <v>35000</v>
      </c>
      <c r="AK141" s="125">
        <v>0</v>
      </c>
      <c r="AL141" s="125">
        <f>Valores!$C$89</f>
        <v>0</v>
      </c>
      <c r="AM141" s="125">
        <f>Valores!C$39*B141</f>
        <v>0</v>
      </c>
      <c r="AN141" s="125">
        <f>IF($F$3="NO",0,Valores!$C$57)</f>
        <v>0</v>
      </c>
      <c r="AO141" s="125">
        <f t="shared" si="23"/>
        <v>35000</v>
      </c>
      <c r="AP141" s="125">
        <f>AI141*Valores!$C$72</f>
        <v>-52269.607830000001</v>
      </c>
      <c r="AQ141" s="125">
        <f>IF(AI141&lt;Valores!$E$73,-0.02,IF(AI141&lt;Valores!$F$73,-0.03,-0.04))*AI141</f>
        <v>-9503.5650600000008</v>
      </c>
      <c r="AR141" s="125">
        <f>AI141*Valores!$C$75</f>
        <v>-26134.803915</v>
      </c>
      <c r="AS141" s="125">
        <f>Valores!$C$102</f>
        <v>-1270.1600000000001</v>
      </c>
      <c r="AT141" s="125">
        <f>IF($F$5=0,Valores!$C$103,(Valores!$C$103+$F$5*(Valores!$C$103)))</f>
        <v>-3700</v>
      </c>
      <c r="AU141" s="125">
        <f t="shared" si="26"/>
        <v>417300.11619500001</v>
      </c>
      <c r="AV141" s="125">
        <f t="shared" si="20"/>
        <v>-52269.607830000001</v>
      </c>
      <c r="AW141" s="125">
        <f t="shared" si="27"/>
        <v>-9503.5650600000008</v>
      </c>
      <c r="AX141" s="125">
        <f>AI141*Valores!$C$76</f>
        <v>-12829.812831000001</v>
      </c>
      <c r="AY141" s="125">
        <f>AI141*Valores!$C$77</f>
        <v>-1425.5347590000001</v>
      </c>
      <c r="AZ141" s="125">
        <f t="shared" si="24"/>
        <v>434149.73252000002</v>
      </c>
      <c r="BA141" s="125">
        <f>AI141*Valores!$C$79</f>
        <v>76028.520480000007</v>
      </c>
      <c r="BB141" s="125">
        <f>AI141*Valores!$C$80</f>
        <v>33262.477710000006</v>
      </c>
      <c r="BC141" s="125">
        <f>AI141*Valores!$C$81</f>
        <v>4751.7825300000004</v>
      </c>
      <c r="BD141" s="125">
        <f>AI141*Valores!$C$83</f>
        <v>16631.238855000003</v>
      </c>
      <c r="BE141" s="125">
        <f>AI141*Valores!$C$85</f>
        <v>25659.625662000002</v>
      </c>
      <c r="BF141" s="125">
        <f>AI141*Valores!$C$84</f>
        <v>2851.0695180000002</v>
      </c>
      <c r="BG141" s="126"/>
      <c r="BH141" s="126">
        <v>22</v>
      </c>
      <c r="BI141" s="123" t="s">
        <v>4</v>
      </c>
    </row>
    <row r="142" spans="1:61" s="110" customFormat="1" ht="11.25" customHeight="1" x14ac:dyDescent="0.15">
      <c r="A142" s="123" t="s">
        <v>369</v>
      </c>
      <c r="B142" s="123">
        <v>1</v>
      </c>
      <c r="C142" s="126">
        <v>135</v>
      </c>
      <c r="D142" s="124" t="s">
        <v>370</v>
      </c>
      <c r="E142" s="192">
        <v>1278</v>
      </c>
      <c r="F142" s="125">
        <f>ROUND(E142*Valores!$C$2,2)</f>
        <v>99168.58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40908.06</v>
      </c>
      <c r="N142" s="125">
        <f t="shared" si="21"/>
        <v>0</v>
      </c>
      <c r="O142" s="125">
        <f>Valores!$C$16</f>
        <v>67049.36</v>
      </c>
      <c r="P142" s="125">
        <f>Valores!$D$5</f>
        <v>39667.43</v>
      </c>
      <c r="Q142" s="125">
        <f>Valores!$C$22</f>
        <v>35387.42</v>
      </c>
      <c r="R142" s="125">
        <f>IF($F$4="NO",Valores!$C$45,Valores!$C$45/2)</f>
        <v>27554.83</v>
      </c>
      <c r="S142" s="125">
        <f>Valores!$C$19</f>
        <v>36908.81</v>
      </c>
      <c r="T142" s="125">
        <f t="shared" si="28"/>
        <v>36908.81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Valores!$C$96</f>
        <v>54315.88</v>
      </c>
      <c r="AA142" s="125">
        <f>Valores!$C$25</f>
        <v>1622.32</v>
      </c>
      <c r="AB142" s="214">
        <v>0</v>
      </c>
      <c r="AC142" s="125">
        <f t="shared" si="22"/>
        <v>0</v>
      </c>
      <c r="AD142" s="125">
        <f>Valores!$C$26</f>
        <v>1622.32</v>
      </c>
      <c r="AE142" s="192">
        <v>0</v>
      </c>
      <c r="AF142" s="125">
        <f>ROUND(AE142*Valores!$C$2,2)</f>
        <v>0</v>
      </c>
      <c r="AG142" s="125">
        <f>ROUND(IF($F$4="NO",Valores!$C$64,Valores!$C$64/2),2)</f>
        <v>18547.32</v>
      </c>
      <c r="AH142" s="125">
        <f>SUM(F142,H142,J142,L142,M142,N142,O142,P142,Q142,R142,T142,U142,V142,X142,Y142,Z142,AA142,AC142,AD142,AF142,AG142)*Valores!$C$104</f>
        <v>42275.233000000007</v>
      </c>
      <c r="AI142" s="125">
        <f t="shared" si="25"/>
        <v>465027.56300000002</v>
      </c>
      <c r="AJ142" s="125">
        <f>Valores!$C$31</f>
        <v>35000</v>
      </c>
      <c r="AK142" s="125">
        <v>0</v>
      </c>
      <c r="AL142" s="125">
        <f>Valores!$C$89</f>
        <v>0</v>
      </c>
      <c r="AM142" s="125">
        <f>Valores!C$39*B142</f>
        <v>0</v>
      </c>
      <c r="AN142" s="125">
        <f>IF($F$3="NO",0,Valores!$C$57)</f>
        <v>0</v>
      </c>
      <c r="AO142" s="125">
        <f t="shared" si="23"/>
        <v>35000</v>
      </c>
      <c r="AP142" s="125">
        <f>AI142*Valores!$C$72</f>
        <v>-51153.031930000005</v>
      </c>
      <c r="AQ142" s="125">
        <f>IF(AI142&lt;Valores!$E$73,-0.02,IF(AI142&lt;Valores!$F$73,-0.03,-0.04))*AI142</f>
        <v>-9300.5512600000002</v>
      </c>
      <c r="AR142" s="125">
        <f>AI142*Valores!$C$75</f>
        <v>-25576.515965000002</v>
      </c>
      <c r="AS142" s="125">
        <f>Valores!$C$102</f>
        <v>-1270.1600000000001</v>
      </c>
      <c r="AT142" s="125">
        <f>IF($F$5=0,Valores!$C$103,(Valores!$C$103+$F$5*(Valores!$C$103)))</f>
        <v>-3700</v>
      </c>
      <c r="AU142" s="125">
        <f t="shared" si="26"/>
        <v>409027.30384499999</v>
      </c>
      <c r="AV142" s="125">
        <f t="shared" si="20"/>
        <v>-51153.031930000005</v>
      </c>
      <c r="AW142" s="125">
        <f t="shared" si="27"/>
        <v>-9300.5512600000002</v>
      </c>
      <c r="AX142" s="125">
        <f>AI142*Valores!$C$76</f>
        <v>-12555.744201000001</v>
      </c>
      <c r="AY142" s="125">
        <f>AI142*Valores!$C$77</f>
        <v>-1395.0826890000001</v>
      </c>
      <c r="AZ142" s="125">
        <f t="shared" si="24"/>
        <v>425623.15292000002</v>
      </c>
      <c r="BA142" s="125">
        <f>AI142*Valores!$C$79</f>
        <v>74404.410080000001</v>
      </c>
      <c r="BB142" s="125">
        <f>AI142*Valores!$C$80</f>
        <v>32551.929410000004</v>
      </c>
      <c r="BC142" s="125">
        <f>AI142*Valores!$C$81</f>
        <v>4650.2756300000001</v>
      </c>
      <c r="BD142" s="125">
        <f>AI142*Valores!$C$83</f>
        <v>16275.964705000002</v>
      </c>
      <c r="BE142" s="125">
        <f>AI142*Valores!$C$85</f>
        <v>25111.488402000003</v>
      </c>
      <c r="BF142" s="125">
        <f>AI142*Valores!$C$84</f>
        <v>2790.1653780000001</v>
      </c>
      <c r="BG142" s="126"/>
      <c r="BH142" s="126">
        <v>22</v>
      </c>
      <c r="BI142" s="123" t="s">
        <v>4</v>
      </c>
    </row>
    <row r="143" spans="1:61" s="110" customFormat="1" ht="11.25" customHeight="1" x14ac:dyDescent="0.15">
      <c r="A143" s="123" t="s">
        <v>371</v>
      </c>
      <c r="B143" s="123">
        <v>1</v>
      </c>
      <c r="C143" s="126">
        <v>136</v>
      </c>
      <c r="D143" s="124" t="s">
        <v>372</v>
      </c>
      <c r="E143" s="192">
        <v>1278</v>
      </c>
      <c r="F143" s="125">
        <f>ROUND(E143*Valores!$C$2,2)</f>
        <v>99168.58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40908.06</v>
      </c>
      <c r="N143" s="125">
        <f t="shared" si="21"/>
        <v>0</v>
      </c>
      <c r="O143" s="125">
        <f>Valores!$C$16</f>
        <v>67049.36</v>
      </c>
      <c r="P143" s="125">
        <f>Valores!$D$5</f>
        <v>39667.43</v>
      </c>
      <c r="Q143" s="125">
        <f>Valores!$C$22</f>
        <v>35387.42</v>
      </c>
      <c r="R143" s="125">
        <f>IF($F$4="NO",Valores!$C$45,Valores!$C$45/2)</f>
        <v>27554.83</v>
      </c>
      <c r="S143" s="125">
        <f>Valores!$C$19</f>
        <v>36908.81</v>
      </c>
      <c r="T143" s="125">
        <f t="shared" si="28"/>
        <v>36908.81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Valores!$C$96</f>
        <v>54315.88</v>
      </c>
      <c r="AA143" s="125">
        <f>Valores!$C$25</f>
        <v>1622.32</v>
      </c>
      <c r="AB143" s="214">
        <v>0</v>
      </c>
      <c r="AC143" s="125">
        <f t="shared" si="22"/>
        <v>0</v>
      </c>
      <c r="AD143" s="125">
        <f>Valores!$C$26</f>
        <v>1622.32</v>
      </c>
      <c r="AE143" s="192">
        <v>0</v>
      </c>
      <c r="AF143" s="125">
        <f>ROUND(AE143*Valores!$C$2,2)</f>
        <v>0</v>
      </c>
      <c r="AG143" s="125">
        <f>ROUND(IF($F$4="NO",Valores!$C$64,Valores!$C$64/2),2)</f>
        <v>18547.32</v>
      </c>
      <c r="AH143" s="125">
        <f>SUM(F143,H143,J143,L143,M143,N143,O143,P143,Q143,R143,T143,U143,V143,X143,Y143,Z143,AA143,AC143,AD143,AF143,AG143)*Valores!$C$104</f>
        <v>42275.233000000007</v>
      </c>
      <c r="AI143" s="125">
        <f t="shared" si="25"/>
        <v>465027.56300000002</v>
      </c>
      <c r="AJ143" s="125">
        <f>Valores!$C$31</f>
        <v>35000</v>
      </c>
      <c r="AK143" s="125">
        <v>0</v>
      </c>
      <c r="AL143" s="125">
        <f>Valores!$C$89</f>
        <v>0</v>
      </c>
      <c r="AM143" s="125">
        <f>Valores!C$39*B143</f>
        <v>0</v>
      </c>
      <c r="AN143" s="125">
        <f>IF($F$3="NO",0,Valores!$C$57)</f>
        <v>0</v>
      </c>
      <c r="AO143" s="125">
        <f t="shared" si="23"/>
        <v>35000</v>
      </c>
      <c r="AP143" s="125">
        <f>AI143*Valores!$C$72</f>
        <v>-51153.031930000005</v>
      </c>
      <c r="AQ143" s="125">
        <f>IF(AI143&lt;Valores!$E$73,-0.02,IF(AI143&lt;Valores!$F$73,-0.03,-0.04))*AI143</f>
        <v>-9300.5512600000002</v>
      </c>
      <c r="AR143" s="125">
        <f>AI143*Valores!$C$75</f>
        <v>-25576.515965000002</v>
      </c>
      <c r="AS143" s="125">
        <f>Valores!$C$102</f>
        <v>-1270.1600000000001</v>
      </c>
      <c r="AT143" s="125">
        <f>IF($F$5=0,Valores!$C$103,(Valores!$C$103+$F$5*(Valores!$C$103)))</f>
        <v>-3700</v>
      </c>
      <c r="AU143" s="125">
        <f t="shared" si="26"/>
        <v>409027.30384499999</v>
      </c>
      <c r="AV143" s="125">
        <f t="shared" si="20"/>
        <v>-51153.031930000005</v>
      </c>
      <c r="AW143" s="125">
        <f t="shared" si="27"/>
        <v>-9300.5512600000002</v>
      </c>
      <c r="AX143" s="125">
        <f>AI143*Valores!$C$76</f>
        <v>-12555.744201000001</v>
      </c>
      <c r="AY143" s="125">
        <f>AI143*Valores!$C$77</f>
        <v>-1395.0826890000001</v>
      </c>
      <c r="AZ143" s="125">
        <f t="shared" si="24"/>
        <v>425623.15292000002</v>
      </c>
      <c r="BA143" s="125">
        <f>AI143*Valores!$C$79</f>
        <v>74404.410080000001</v>
      </c>
      <c r="BB143" s="125">
        <f>AI143*Valores!$C$80</f>
        <v>32551.929410000004</v>
      </c>
      <c r="BC143" s="125">
        <f>AI143*Valores!$C$81</f>
        <v>4650.2756300000001</v>
      </c>
      <c r="BD143" s="125">
        <f>AI143*Valores!$C$83</f>
        <v>16275.964705000002</v>
      </c>
      <c r="BE143" s="125">
        <f>AI143*Valores!$C$85</f>
        <v>25111.488402000003</v>
      </c>
      <c r="BF143" s="125">
        <f>AI143*Valores!$C$84</f>
        <v>2790.1653780000001</v>
      </c>
      <c r="BG143" s="126"/>
      <c r="BH143" s="126"/>
      <c r="BI143" s="123" t="s">
        <v>4</v>
      </c>
    </row>
    <row r="144" spans="1:61" s="110" customFormat="1" ht="11.25" customHeight="1" x14ac:dyDescent="0.15">
      <c r="A144" s="123" t="s">
        <v>373</v>
      </c>
      <c r="B144" s="123">
        <v>1</v>
      </c>
      <c r="C144" s="126">
        <v>137</v>
      </c>
      <c r="D144" s="124" t="s">
        <v>374</v>
      </c>
      <c r="E144" s="192">
        <v>1278</v>
      </c>
      <c r="F144" s="125">
        <f>ROUND(E144*Valores!$C$2,2)</f>
        <v>99168.58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40908.06</v>
      </c>
      <c r="N144" s="125">
        <f t="shared" si="21"/>
        <v>0</v>
      </c>
      <c r="O144" s="125">
        <f>Valores!$C$16</f>
        <v>67049.36</v>
      </c>
      <c r="P144" s="125">
        <f>Valores!$D$5</f>
        <v>39667.43</v>
      </c>
      <c r="Q144" s="125">
        <f>Valores!$C$22</f>
        <v>35387.42</v>
      </c>
      <c r="R144" s="125">
        <f>IF($F$4="NO",Valores!$C$45,Valores!$C$45/2)</f>
        <v>27554.83</v>
      </c>
      <c r="S144" s="125">
        <f>Valores!$C$19</f>
        <v>36908.81</v>
      </c>
      <c r="T144" s="125">
        <f t="shared" si="28"/>
        <v>36908.81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Valores!$C$96</f>
        <v>54315.88</v>
      </c>
      <c r="AA144" s="125">
        <f>Valores!$C$25</f>
        <v>1622.32</v>
      </c>
      <c r="AB144" s="214">
        <v>0</v>
      </c>
      <c r="AC144" s="125">
        <f t="shared" si="22"/>
        <v>0</v>
      </c>
      <c r="AD144" s="125">
        <f>Valores!$C$26</f>
        <v>1622.32</v>
      </c>
      <c r="AE144" s="192">
        <v>0</v>
      </c>
      <c r="AF144" s="125">
        <f>ROUND(AE144*Valores!$C$2,2)</f>
        <v>0</v>
      </c>
      <c r="AG144" s="125">
        <f>ROUND(IF($F$4="NO",Valores!$C$64,Valores!$C$64/2),2)</f>
        <v>18547.32</v>
      </c>
      <c r="AH144" s="125">
        <f>SUM(F144,H144,J144,L144,M144,N144,O144,P144,Q144,R144,T144,U144,V144,X144,Y144,Z144,AA144,AC144,AD144,AF144,AG144)*Valores!$C$104</f>
        <v>42275.233000000007</v>
      </c>
      <c r="AI144" s="125">
        <f t="shared" si="25"/>
        <v>465027.56300000002</v>
      </c>
      <c r="AJ144" s="125">
        <f>Valores!$C$31</f>
        <v>35000</v>
      </c>
      <c r="AK144" s="125">
        <v>0</v>
      </c>
      <c r="AL144" s="125">
        <f>Valores!$C$89</f>
        <v>0</v>
      </c>
      <c r="AM144" s="125">
        <f>Valores!C$39*B144</f>
        <v>0</v>
      </c>
      <c r="AN144" s="125">
        <f>IF($F$3="NO",0,Valores!$C$57)</f>
        <v>0</v>
      </c>
      <c r="AO144" s="125">
        <f t="shared" si="23"/>
        <v>35000</v>
      </c>
      <c r="AP144" s="125">
        <f>AI144*Valores!$C$72</f>
        <v>-51153.031930000005</v>
      </c>
      <c r="AQ144" s="125">
        <f>IF(AI144&lt;Valores!$E$73,-0.02,IF(AI144&lt;Valores!$F$73,-0.03,-0.04))*AI144</f>
        <v>-9300.5512600000002</v>
      </c>
      <c r="AR144" s="125">
        <f>AI144*Valores!$C$75</f>
        <v>-25576.515965000002</v>
      </c>
      <c r="AS144" s="125">
        <f>Valores!$C$102</f>
        <v>-1270.1600000000001</v>
      </c>
      <c r="AT144" s="125">
        <f>IF($F$5=0,Valores!$C$103,(Valores!$C$103+$F$5*(Valores!$C$103)))</f>
        <v>-3700</v>
      </c>
      <c r="AU144" s="125">
        <f t="shared" si="26"/>
        <v>409027.30384499999</v>
      </c>
      <c r="AV144" s="125">
        <f t="shared" si="20"/>
        <v>-51153.031930000005</v>
      </c>
      <c r="AW144" s="125">
        <f t="shared" si="27"/>
        <v>-9300.5512600000002</v>
      </c>
      <c r="AX144" s="125">
        <f>AI144*Valores!$C$76</f>
        <v>-12555.744201000001</v>
      </c>
      <c r="AY144" s="125">
        <f>AI144*Valores!$C$77</f>
        <v>-1395.0826890000001</v>
      </c>
      <c r="AZ144" s="125">
        <f t="shared" si="24"/>
        <v>425623.15292000002</v>
      </c>
      <c r="BA144" s="125">
        <f>AI144*Valores!$C$79</f>
        <v>74404.410080000001</v>
      </c>
      <c r="BB144" s="125">
        <f>AI144*Valores!$C$80</f>
        <v>32551.929410000004</v>
      </c>
      <c r="BC144" s="125">
        <f>AI144*Valores!$C$81</f>
        <v>4650.2756300000001</v>
      </c>
      <c r="BD144" s="125">
        <f>AI144*Valores!$C$83</f>
        <v>16275.964705000002</v>
      </c>
      <c r="BE144" s="125">
        <f>AI144*Valores!$C$85</f>
        <v>25111.488402000003</v>
      </c>
      <c r="BF144" s="125">
        <f>AI144*Valores!$C$84</f>
        <v>2790.1653780000001</v>
      </c>
      <c r="BG144" s="126"/>
      <c r="BH144" s="126">
        <v>20</v>
      </c>
      <c r="BI144" s="123" t="s">
        <v>4</v>
      </c>
    </row>
    <row r="145" spans="1:61" s="110" customFormat="1" ht="11.25" customHeight="1" x14ac:dyDescent="0.15">
      <c r="A145" s="123" t="s">
        <v>375</v>
      </c>
      <c r="B145" s="123">
        <v>1</v>
      </c>
      <c r="C145" s="126">
        <v>138</v>
      </c>
      <c r="D145" s="124" t="s">
        <v>376</v>
      </c>
      <c r="E145" s="192">
        <v>1278</v>
      </c>
      <c r="F145" s="125">
        <f>ROUND(E145*Valores!$C$2,2)</f>
        <v>99168.58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40908.06</v>
      </c>
      <c r="N145" s="125">
        <f t="shared" si="21"/>
        <v>0</v>
      </c>
      <c r="O145" s="125">
        <f>Valores!$C$16</f>
        <v>67049.36</v>
      </c>
      <c r="P145" s="125">
        <f>Valores!$D$5</f>
        <v>39667.43</v>
      </c>
      <c r="Q145" s="125">
        <f>Valores!$C$22</f>
        <v>35387.42</v>
      </c>
      <c r="R145" s="125">
        <f>IF($F$4="NO",Valores!$C$45,Valores!$C$45/2)</f>
        <v>27554.83</v>
      </c>
      <c r="S145" s="125">
        <f>Valores!$C$19</f>
        <v>36908.81</v>
      </c>
      <c r="T145" s="125">
        <f t="shared" si="28"/>
        <v>36908.81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Valores!$C$96</f>
        <v>54315.88</v>
      </c>
      <c r="AA145" s="125">
        <f>Valores!$C$25</f>
        <v>1622.32</v>
      </c>
      <c r="AB145" s="214">
        <v>0</v>
      </c>
      <c r="AC145" s="125">
        <f t="shared" si="22"/>
        <v>0</v>
      </c>
      <c r="AD145" s="125">
        <f>Valores!$C$26</f>
        <v>1622.32</v>
      </c>
      <c r="AE145" s="192">
        <v>94</v>
      </c>
      <c r="AF145" s="125">
        <f>ROUND(AE145*Valores!$C$2,2)</f>
        <v>7294.09</v>
      </c>
      <c r="AG145" s="125">
        <f>ROUND(IF($F$4="NO",Valores!$C$64,Valores!$C$64/2),2)</f>
        <v>18547.32</v>
      </c>
      <c r="AH145" s="125">
        <f>SUM(F145,H145,J145,L145,M145,N145,O145,P145,Q145,R145,T145,U145,V145,X145,Y145,Z145,AA145,AC145,AD145,AF145,AG145)*Valores!$C$104</f>
        <v>43004.642000000007</v>
      </c>
      <c r="AI145" s="125">
        <f t="shared" si="25"/>
        <v>473051.06200000003</v>
      </c>
      <c r="AJ145" s="125">
        <f>Valores!$C$31</f>
        <v>35000</v>
      </c>
      <c r="AK145" s="125">
        <v>0</v>
      </c>
      <c r="AL145" s="125">
        <f>Valores!$C$89</f>
        <v>0</v>
      </c>
      <c r="AM145" s="125">
        <f>Valores!C$39*B145</f>
        <v>0</v>
      </c>
      <c r="AN145" s="125">
        <f>IF($F$3="NO",0,Valores!$C$57)</f>
        <v>0</v>
      </c>
      <c r="AO145" s="125">
        <f t="shared" si="23"/>
        <v>35000</v>
      </c>
      <c r="AP145" s="125">
        <f>AI145*Valores!$C$72</f>
        <v>-52035.616820000003</v>
      </c>
      <c r="AQ145" s="125">
        <f>IF(AI145&lt;Valores!$E$73,-0.02,IF(AI145&lt;Valores!$F$73,-0.03,-0.04))*AI145</f>
        <v>-9461.02124</v>
      </c>
      <c r="AR145" s="125">
        <f>AI145*Valores!$C$75</f>
        <v>-26017.808410000001</v>
      </c>
      <c r="AS145" s="125">
        <f>Valores!$C$102</f>
        <v>-1270.1600000000001</v>
      </c>
      <c r="AT145" s="125">
        <f>IF($F$5=0,Valores!$C$103,(Valores!$C$103+$F$5*(Valores!$C$103)))</f>
        <v>-3700</v>
      </c>
      <c r="AU145" s="125">
        <f t="shared" si="26"/>
        <v>415566.45553000004</v>
      </c>
      <c r="AV145" s="125">
        <f t="shared" si="20"/>
        <v>-52035.616820000003</v>
      </c>
      <c r="AW145" s="125">
        <f t="shared" si="27"/>
        <v>-9461.02124</v>
      </c>
      <c r="AX145" s="125">
        <f>AI145*Valores!$C$76</f>
        <v>-12772.378674000001</v>
      </c>
      <c r="AY145" s="125">
        <f>AI145*Valores!$C$77</f>
        <v>-1419.1531860000002</v>
      </c>
      <c r="AZ145" s="125">
        <f t="shared" si="24"/>
        <v>432362.89208000002</v>
      </c>
      <c r="BA145" s="125">
        <f>AI145*Valores!$C$79</f>
        <v>75688.16992</v>
      </c>
      <c r="BB145" s="125">
        <f>AI145*Valores!$C$80</f>
        <v>33113.574340000006</v>
      </c>
      <c r="BC145" s="125">
        <f>AI145*Valores!$C$81</f>
        <v>4730.51062</v>
      </c>
      <c r="BD145" s="125">
        <f>AI145*Valores!$C$83</f>
        <v>16556.787170000003</v>
      </c>
      <c r="BE145" s="125">
        <f>AI145*Valores!$C$85</f>
        <v>25544.757348000003</v>
      </c>
      <c r="BF145" s="125">
        <f>AI145*Valores!$C$84</f>
        <v>2838.3063720000005</v>
      </c>
      <c r="BG145" s="126"/>
      <c r="BH145" s="126">
        <v>20</v>
      </c>
      <c r="BI145" s="123" t="s">
        <v>4</v>
      </c>
    </row>
    <row r="146" spans="1:61" s="110" customFormat="1" ht="11.25" customHeight="1" x14ac:dyDescent="0.15">
      <c r="A146" s="123" t="s">
        <v>377</v>
      </c>
      <c r="B146" s="123">
        <v>1</v>
      </c>
      <c r="C146" s="126">
        <v>139</v>
      </c>
      <c r="D146" s="124" t="s">
        <v>378</v>
      </c>
      <c r="E146" s="192">
        <v>1278</v>
      </c>
      <c r="F146" s="125">
        <f>ROUND(E146*Valores!$C$2,2)</f>
        <v>99168.58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40908.06</v>
      </c>
      <c r="N146" s="125">
        <f t="shared" si="21"/>
        <v>0</v>
      </c>
      <c r="O146" s="125">
        <f>Valores!$C$16</f>
        <v>67049.36</v>
      </c>
      <c r="P146" s="125">
        <f>Valores!$D$5</f>
        <v>39667.43</v>
      </c>
      <c r="Q146" s="125">
        <f>Valores!$C$22</f>
        <v>35387.42</v>
      </c>
      <c r="R146" s="125">
        <f>IF($F$4="NO",Valores!$C$45,Valores!$C$45/2)</f>
        <v>27554.83</v>
      </c>
      <c r="S146" s="125">
        <f>Valores!$C$19</f>
        <v>36908.81</v>
      </c>
      <c r="T146" s="125">
        <f t="shared" si="28"/>
        <v>36908.81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Valores!$C$96</f>
        <v>54315.88</v>
      </c>
      <c r="AA146" s="125">
        <f>Valores!$C$25</f>
        <v>1622.32</v>
      </c>
      <c r="AB146" s="214">
        <v>0</v>
      </c>
      <c r="AC146" s="125">
        <f t="shared" si="22"/>
        <v>0</v>
      </c>
      <c r="AD146" s="125">
        <f>Valores!$C$26</f>
        <v>1622.32</v>
      </c>
      <c r="AE146" s="192">
        <v>0</v>
      </c>
      <c r="AF146" s="125">
        <f>ROUND(AE146*Valores!$C$2,2)</f>
        <v>0</v>
      </c>
      <c r="AG146" s="125">
        <f>ROUND(IF($F$4="NO",Valores!$C$64,Valores!$C$64/2),2)</f>
        <v>18547.32</v>
      </c>
      <c r="AH146" s="125">
        <f>SUM(F146,H146,J146,L146,M146,N146,O146,P146,Q146,R146,T146,U146,V146,X146,Y146,Z146,AA146,AC146,AD146,AF146,AG146)*Valores!$C$104</f>
        <v>42275.233000000007</v>
      </c>
      <c r="AI146" s="125">
        <f t="shared" si="25"/>
        <v>465027.56300000002</v>
      </c>
      <c r="AJ146" s="125">
        <f>Valores!$C$31</f>
        <v>35000</v>
      </c>
      <c r="AK146" s="125">
        <v>0</v>
      </c>
      <c r="AL146" s="125">
        <f>Valores!$C$89</f>
        <v>0</v>
      </c>
      <c r="AM146" s="125">
        <f>Valores!C$39*B146</f>
        <v>0</v>
      </c>
      <c r="AN146" s="125">
        <f>IF($F$3="NO",0,Valores!$C$57)</f>
        <v>0</v>
      </c>
      <c r="AO146" s="125">
        <f t="shared" si="23"/>
        <v>35000</v>
      </c>
      <c r="AP146" s="125">
        <f>AI146*Valores!$C$72</f>
        <v>-51153.031930000005</v>
      </c>
      <c r="AQ146" s="125">
        <f>IF(AI146&lt;Valores!$E$73,-0.02,IF(AI146&lt;Valores!$F$73,-0.03,-0.04))*AI146</f>
        <v>-9300.5512600000002</v>
      </c>
      <c r="AR146" s="125">
        <f>AI146*Valores!$C$75</f>
        <v>-25576.515965000002</v>
      </c>
      <c r="AS146" s="125">
        <f>Valores!$C$102</f>
        <v>-1270.1600000000001</v>
      </c>
      <c r="AT146" s="125">
        <f>IF($F$5=0,Valores!$C$103,(Valores!$C$103+$F$5*(Valores!$C$103)))</f>
        <v>-3700</v>
      </c>
      <c r="AU146" s="125">
        <f t="shared" si="26"/>
        <v>409027.30384499999</v>
      </c>
      <c r="AV146" s="125">
        <f t="shared" si="20"/>
        <v>-51153.031930000005</v>
      </c>
      <c r="AW146" s="125">
        <f t="shared" si="27"/>
        <v>-9300.5512600000002</v>
      </c>
      <c r="AX146" s="125">
        <f>AI146*Valores!$C$76</f>
        <v>-12555.744201000001</v>
      </c>
      <c r="AY146" s="125">
        <f>AI146*Valores!$C$77</f>
        <v>-1395.0826890000001</v>
      </c>
      <c r="AZ146" s="125">
        <f t="shared" si="24"/>
        <v>425623.15292000002</v>
      </c>
      <c r="BA146" s="125">
        <f>AI146*Valores!$C$79</f>
        <v>74404.410080000001</v>
      </c>
      <c r="BB146" s="125">
        <f>AI146*Valores!$C$80</f>
        <v>32551.929410000004</v>
      </c>
      <c r="BC146" s="125">
        <f>AI146*Valores!$C$81</f>
        <v>4650.2756300000001</v>
      </c>
      <c r="BD146" s="125">
        <f>AI146*Valores!$C$83</f>
        <v>16275.964705000002</v>
      </c>
      <c r="BE146" s="125">
        <f>AI146*Valores!$C$85</f>
        <v>25111.488402000003</v>
      </c>
      <c r="BF146" s="125">
        <f>AI146*Valores!$C$84</f>
        <v>2790.1653780000001</v>
      </c>
      <c r="BG146" s="126"/>
      <c r="BH146" s="126">
        <v>22</v>
      </c>
      <c r="BI146" s="123" t="s">
        <v>4</v>
      </c>
    </row>
    <row r="147" spans="1:61" s="110" customFormat="1" ht="11.25" customHeight="1" x14ac:dyDescent="0.15">
      <c r="A147" s="123" t="s">
        <v>379</v>
      </c>
      <c r="B147" s="123">
        <v>1</v>
      </c>
      <c r="C147" s="126">
        <v>140</v>
      </c>
      <c r="D147" s="124" t="s">
        <v>380</v>
      </c>
      <c r="E147" s="192">
        <v>1278</v>
      </c>
      <c r="F147" s="125">
        <f>ROUND(E147*Valores!$C$2,2)</f>
        <v>99168.58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40813.72</v>
      </c>
      <c r="N147" s="125">
        <f t="shared" si="21"/>
        <v>0</v>
      </c>
      <c r="O147" s="125">
        <f>Valores!$C$16</f>
        <v>67049.36</v>
      </c>
      <c r="P147" s="125">
        <f>Valores!$D$5</f>
        <v>39667.43</v>
      </c>
      <c r="Q147" s="125">
        <v>0</v>
      </c>
      <c r="R147" s="125">
        <f>IF($F$4="NO",Valores!$C$45,Valores!$C$45/2)</f>
        <v>27554.83</v>
      </c>
      <c r="S147" s="125">
        <f>Valores!$C$20</f>
        <v>36531.46</v>
      </c>
      <c r="T147" s="125">
        <f t="shared" si="28"/>
        <v>36531.46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Valores!$C$96</f>
        <v>54315.88</v>
      </c>
      <c r="AA147" s="125">
        <f>Valores!$C$25</f>
        <v>1622.32</v>
      </c>
      <c r="AB147" s="214">
        <v>0</v>
      </c>
      <c r="AC147" s="125">
        <f t="shared" si="22"/>
        <v>0</v>
      </c>
      <c r="AD147" s="125">
        <f>Valores!$C$26</f>
        <v>1622.32</v>
      </c>
      <c r="AE147" s="192">
        <v>0</v>
      </c>
      <c r="AF147" s="125">
        <f>ROUND(AE147*Valores!$C$2,2)</f>
        <v>0</v>
      </c>
      <c r="AG147" s="125">
        <f>ROUND(IF($F$4="NO",Valores!$C$64,Valores!$C$64/2),2)</f>
        <v>18547.32</v>
      </c>
      <c r="AH147" s="125">
        <f>SUM(F147,H147,J147,L147,M147,N147,O147,P147,Q147,R147,T147,U147,V147,X147,Y147,Z147,AA147,AC147,AD147,AF147,AG147)*Valores!$C$104</f>
        <v>38689.322000000007</v>
      </c>
      <c r="AI147" s="125">
        <f t="shared" si="25"/>
        <v>425582.54200000002</v>
      </c>
      <c r="AJ147" s="125">
        <f>Valores!$C$31</f>
        <v>35000</v>
      </c>
      <c r="AK147" s="125">
        <v>0</v>
      </c>
      <c r="AL147" s="125">
        <f>Valores!$C$89</f>
        <v>0</v>
      </c>
      <c r="AM147" s="125">
        <f>Valores!C$39*B147</f>
        <v>0</v>
      </c>
      <c r="AN147" s="125">
        <f>IF($F$3="NO",0,Valores!$C$57)</f>
        <v>0</v>
      </c>
      <c r="AO147" s="125">
        <f t="shared" si="23"/>
        <v>35000</v>
      </c>
      <c r="AP147" s="125">
        <f>AI147*Valores!$C$72</f>
        <v>-46814.079620000004</v>
      </c>
      <c r="AQ147" s="125">
        <f>IF(AI147&lt;Valores!$E$73,-0.02,IF(AI147&lt;Valores!$F$73,-0.03,-0.04))*AI147</f>
        <v>-8511.6508400000002</v>
      </c>
      <c r="AR147" s="125">
        <f>AI147*Valores!$C$75</f>
        <v>-23407.039810000002</v>
      </c>
      <c r="AS147" s="125">
        <f>Valores!$C$102</f>
        <v>-1270.1600000000001</v>
      </c>
      <c r="AT147" s="125">
        <f>IF($F$5=0,Valores!$C$103,(Valores!$C$103+$F$5*(Valores!$C$103)))</f>
        <v>-3700</v>
      </c>
      <c r="AU147" s="125">
        <f t="shared" si="26"/>
        <v>376879.61173</v>
      </c>
      <c r="AV147" s="125">
        <f t="shared" si="20"/>
        <v>-46814.079620000004</v>
      </c>
      <c r="AW147" s="125">
        <f t="shared" si="27"/>
        <v>-8511.6508400000002</v>
      </c>
      <c r="AX147" s="125">
        <f>AI147*Valores!$C$76</f>
        <v>-11490.728634000001</v>
      </c>
      <c r="AY147" s="125">
        <f>AI147*Valores!$C$77</f>
        <v>-1276.7476260000001</v>
      </c>
      <c r="AZ147" s="125">
        <f t="shared" si="24"/>
        <v>392489.33528</v>
      </c>
      <c r="BA147" s="125">
        <f>AI147*Valores!$C$79</f>
        <v>68093.206720000002</v>
      </c>
      <c r="BB147" s="125">
        <f>AI147*Valores!$C$80</f>
        <v>29790.777940000004</v>
      </c>
      <c r="BC147" s="125">
        <f>AI147*Valores!$C$81</f>
        <v>4255.8254200000001</v>
      </c>
      <c r="BD147" s="125">
        <f>AI147*Valores!$C$83</f>
        <v>14895.388970000002</v>
      </c>
      <c r="BE147" s="125">
        <f>AI147*Valores!$C$85</f>
        <v>22981.457268000002</v>
      </c>
      <c r="BF147" s="125">
        <f>AI147*Valores!$C$84</f>
        <v>2553.4952520000002</v>
      </c>
      <c r="BG147" s="126"/>
      <c r="BH147" s="126"/>
      <c r="BI147" s="123" t="s">
        <v>8</v>
      </c>
    </row>
    <row r="148" spans="1:61" s="110" customFormat="1" ht="11.25" customHeight="1" x14ac:dyDescent="0.15">
      <c r="A148" s="123" t="s">
        <v>381</v>
      </c>
      <c r="B148" s="123">
        <v>1</v>
      </c>
      <c r="C148" s="126">
        <v>141</v>
      </c>
      <c r="D148" s="124" t="s">
        <v>382</v>
      </c>
      <c r="E148" s="192">
        <v>1278</v>
      </c>
      <c r="F148" s="125">
        <f>ROUND(E148*Valores!$C$2,2)</f>
        <v>99168.58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40813.72</v>
      </c>
      <c r="N148" s="125">
        <f t="shared" si="21"/>
        <v>0</v>
      </c>
      <c r="O148" s="125">
        <f>Valores!$C$16</f>
        <v>67049.36</v>
      </c>
      <c r="P148" s="125">
        <f>Valores!$D$5</f>
        <v>39667.43</v>
      </c>
      <c r="Q148" s="125">
        <v>0</v>
      </c>
      <c r="R148" s="125">
        <f>IF($F$4="NO",Valores!$C$45,Valores!$C$45/2)</f>
        <v>27554.83</v>
      </c>
      <c r="S148" s="125">
        <f>Valores!$C$20</f>
        <v>36531.46</v>
      </c>
      <c r="T148" s="125">
        <f t="shared" si="28"/>
        <v>36531.46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Valores!$C$96</f>
        <v>54315.88</v>
      </c>
      <c r="AA148" s="125">
        <f>Valores!$C$25</f>
        <v>1622.32</v>
      </c>
      <c r="AB148" s="214">
        <v>0</v>
      </c>
      <c r="AC148" s="125">
        <f t="shared" si="22"/>
        <v>0</v>
      </c>
      <c r="AD148" s="125">
        <f>Valores!$C$26</f>
        <v>1622.32</v>
      </c>
      <c r="AE148" s="192">
        <v>0</v>
      </c>
      <c r="AF148" s="125">
        <f>ROUND(AE148*Valores!$C$2,2)</f>
        <v>0</v>
      </c>
      <c r="AG148" s="125">
        <f>ROUND(IF($F$4="NO",Valores!$C$64,Valores!$C$64/2),2)</f>
        <v>18547.32</v>
      </c>
      <c r="AH148" s="125">
        <f>SUM(F148,H148,J148,L148,M148,N148,O148,P148,Q148,R148,T148,U148,V148,X148,Y148,Z148,AA148,AC148,AD148,AF148,AG148)*Valores!$C$104</f>
        <v>38689.322000000007</v>
      </c>
      <c r="AI148" s="125">
        <f t="shared" si="25"/>
        <v>425582.54200000002</v>
      </c>
      <c r="AJ148" s="125">
        <f>Valores!$C$31</f>
        <v>35000</v>
      </c>
      <c r="AK148" s="125">
        <v>0</v>
      </c>
      <c r="AL148" s="125">
        <f>Valores!$C$89</f>
        <v>0</v>
      </c>
      <c r="AM148" s="125">
        <f>Valores!C$39*B148</f>
        <v>0</v>
      </c>
      <c r="AN148" s="125">
        <f>IF($F$3="NO",0,Valores!$C$57)</f>
        <v>0</v>
      </c>
      <c r="AO148" s="125">
        <f t="shared" si="23"/>
        <v>35000</v>
      </c>
      <c r="AP148" s="125">
        <f>AI148*Valores!$C$72</f>
        <v>-46814.079620000004</v>
      </c>
      <c r="AQ148" s="125">
        <f>IF(AI148&lt;Valores!$E$73,-0.02,IF(AI148&lt;Valores!$F$73,-0.03,-0.04))*AI148</f>
        <v>-8511.6508400000002</v>
      </c>
      <c r="AR148" s="125">
        <f>AI148*Valores!$C$75</f>
        <v>-23407.039810000002</v>
      </c>
      <c r="AS148" s="125">
        <f>Valores!$C$102</f>
        <v>-1270.1600000000001</v>
      </c>
      <c r="AT148" s="125">
        <f>IF($F$5=0,Valores!$C$103,(Valores!$C$103+$F$5*(Valores!$C$103)))</f>
        <v>-3700</v>
      </c>
      <c r="AU148" s="125">
        <f t="shared" si="26"/>
        <v>376879.61173</v>
      </c>
      <c r="AV148" s="125">
        <f t="shared" si="20"/>
        <v>-46814.079620000004</v>
      </c>
      <c r="AW148" s="125">
        <f t="shared" si="27"/>
        <v>-8511.6508400000002</v>
      </c>
      <c r="AX148" s="125">
        <f>AI148*Valores!$C$76</f>
        <v>-11490.728634000001</v>
      </c>
      <c r="AY148" s="125">
        <f>AI148*Valores!$C$77</f>
        <v>-1276.7476260000001</v>
      </c>
      <c r="AZ148" s="125">
        <f t="shared" si="24"/>
        <v>392489.33528</v>
      </c>
      <c r="BA148" s="125">
        <f>AI148*Valores!$C$79</f>
        <v>68093.206720000002</v>
      </c>
      <c r="BB148" s="125">
        <f>AI148*Valores!$C$80</f>
        <v>29790.777940000004</v>
      </c>
      <c r="BC148" s="125">
        <f>AI148*Valores!$C$81</f>
        <v>4255.8254200000001</v>
      </c>
      <c r="BD148" s="125">
        <f>AI148*Valores!$C$83</f>
        <v>14895.388970000002</v>
      </c>
      <c r="BE148" s="125">
        <f>AI148*Valores!$C$85</f>
        <v>22981.457268000002</v>
      </c>
      <c r="BF148" s="125">
        <f>AI148*Valores!$C$84</f>
        <v>2553.4952520000002</v>
      </c>
      <c r="BG148" s="126"/>
      <c r="BH148" s="126"/>
      <c r="BI148" s="123" t="s">
        <v>8</v>
      </c>
    </row>
    <row r="149" spans="1:61" s="110" customFormat="1" ht="11.25" customHeight="1" x14ac:dyDescent="0.15">
      <c r="A149" s="123" t="s">
        <v>383</v>
      </c>
      <c r="B149" s="123">
        <v>1</v>
      </c>
      <c r="C149" s="126">
        <v>142</v>
      </c>
      <c r="D149" s="124" t="s">
        <v>384</v>
      </c>
      <c r="E149" s="192">
        <v>1060</v>
      </c>
      <c r="F149" s="125">
        <f>ROUND(E149*Valores!$C$2,2)</f>
        <v>82252.5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36679.040000000001</v>
      </c>
      <c r="N149" s="125">
        <f t="shared" si="21"/>
        <v>0</v>
      </c>
      <c r="O149" s="125">
        <f>Valores!$C$16</f>
        <v>67049.36</v>
      </c>
      <c r="P149" s="125">
        <f>Valores!$D$5</f>
        <v>39667.43</v>
      </c>
      <c r="Q149" s="125">
        <f>Valores!$C$22</f>
        <v>35387.42</v>
      </c>
      <c r="R149" s="125">
        <f>IF($F$4="NO",Valores!$C$45,Valores!$C$45/2)</f>
        <v>27554.83</v>
      </c>
      <c r="S149" s="125">
        <f>Valores!$C$19</f>
        <v>36908.81</v>
      </c>
      <c r="T149" s="125">
        <f t="shared" si="28"/>
        <v>36908.81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Valores!$C$96</f>
        <v>54315.88</v>
      </c>
      <c r="AA149" s="125">
        <f>Valores!$C$25</f>
        <v>1622.32</v>
      </c>
      <c r="AB149" s="214">
        <v>0</v>
      </c>
      <c r="AC149" s="125">
        <f t="shared" si="22"/>
        <v>0</v>
      </c>
      <c r="AD149" s="125">
        <f>Valores!$C$26</f>
        <v>1622.32</v>
      </c>
      <c r="AE149" s="192">
        <v>0</v>
      </c>
      <c r="AF149" s="125">
        <f>ROUND(AE149*Valores!$C$2,2)</f>
        <v>0</v>
      </c>
      <c r="AG149" s="125">
        <f>ROUND(IF($F$4="NO",Valores!$C$64,Valores!$C$64/2),2)</f>
        <v>18547.32</v>
      </c>
      <c r="AH149" s="125">
        <f>SUM(F149,H149,J149,L149,M149,N149,O149,P149,Q149,R149,T149,U149,V149,X149,Y149,Z149,AA149,AC149,AD149,AF149,AG149)*Valores!$C$104</f>
        <v>40160.723000000005</v>
      </c>
      <c r="AI149" s="125">
        <f t="shared" si="25"/>
        <v>441767.95300000004</v>
      </c>
      <c r="AJ149" s="125">
        <f>Valores!$C$31</f>
        <v>35000</v>
      </c>
      <c r="AK149" s="125">
        <v>0</v>
      </c>
      <c r="AL149" s="125">
        <f>Valores!$C$89</f>
        <v>0</v>
      </c>
      <c r="AM149" s="125">
        <f>Valores!C$39*B149</f>
        <v>0</v>
      </c>
      <c r="AN149" s="125">
        <f>IF($F$3="NO",0,Valores!$C$57)</f>
        <v>0</v>
      </c>
      <c r="AO149" s="125">
        <f t="shared" si="23"/>
        <v>35000</v>
      </c>
      <c r="AP149" s="125">
        <f>AI149*Valores!$C$72</f>
        <v>-48594.474830000006</v>
      </c>
      <c r="AQ149" s="125">
        <f>IF(AI149&lt;Valores!$E$73,-0.02,IF(AI149&lt;Valores!$F$73,-0.03,-0.04))*AI149</f>
        <v>-8835.3590600000007</v>
      </c>
      <c r="AR149" s="125">
        <f>AI149*Valores!$C$75</f>
        <v>-24297.237415000003</v>
      </c>
      <c r="AS149" s="125">
        <f>Valores!$C$102</f>
        <v>-1270.1600000000001</v>
      </c>
      <c r="AT149" s="125">
        <f>IF($F$5=0,Valores!$C$103,(Valores!$C$103+$F$5*(Valores!$C$103)))</f>
        <v>-3700</v>
      </c>
      <c r="AU149" s="125">
        <f t="shared" si="26"/>
        <v>390070.72169500001</v>
      </c>
      <c r="AV149" s="125">
        <f t="shared" si="20"/>
        <v>-48594.474830000006</v>
      </c>
      <c r="AW149" s="125">
        <f t="shared" si="27"/>
        <v>-8835.3590600000007</v>
      </c>
      <c r="AX149" s="125">
        <f>AI149*Valores!$C$76</f>
        <v>-11927.734731</v>
      </c>
      <c r="AY149" s="125">
        <f>AI149*Valores!$C$77</f>
        <v>-1325.3038590000001</v>
      </c>
      <c r="AZ149" s="125">
        <f t="shared" si="24"/>
        <v>406085.08052000002</v>
      </c>
      <c r="BA149" s="125">
        <f>AI149*Valores!$C$79</f>
        <v>70682.872480000005</v>
      </c>
      <c r="BB149" s="125">
        <f>AI149*Valores!$C$80</f>
        <v>30923.756710000005</v>
      </c>
      <c r="BC149" s="125">
        <f>AI149*Valores!$C$81</f>
        <v>4417.6795300000003</v>
      </c>
      <c r="BD149" s="125">
        <f>AI149*Valores!$C$83</f>
        <v>15461.878355000003</v>
      </c>
      <c r="BE149" s="125">
        <f>AI149*Valores!$C$85</f>
        <v>23855.469462000001</v>
      </c>
      <c r="BF149" s="125">
        <f>AI149*Valores!$C$84</f>
        <v>2650.6077180000002</v>
      </c>
      <c r="BG149" s="126"/>
      <c r="BH149" s="126"/>
      <c r="BI149" s="123" t="s">
        <v>4</v>
      </c>
    </row>
    <row r="150" spans="1:61" s="110" customFormat="1" ht="11.25" customHeight="1" x14ac:dyDescent="0.15">
      <c r="A150" s="123" t="s">
        <v>385</v>
      </c>
      <c r="B150" s="123">
        <v>1</v>
      </c>
      <c r="C150" s="126">
        <v>143</v>
      </c>
      <c r="D150" s="124" t="s">
        <v>386</v>
      </c>
      <c r="E150" s="192">
        <v>1278</v>
      </c>
      <c r="F150" s="125">
        <f>ROUND(E150*Valores!$C$2,2)</f>
        <v>99168.58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40813.72</v>
      </c>
      <c r="N150" s="125">
        <f t="shared" si="21"/>
        <v>0</v>
      </c>
      <c r="O150" s="125">
        <f>Valores!$C$16</f>
        <v>67049.36</v>
      </c>
      <c r="P150" s="125">
        <f>Valores!$D$5</f>
        <v>39667.43</v>
      </c>
      <c r="Q150" s="125">
        <f>Valores!$C$22</f>
        <v>35387.42</v>
      </c>
      <c r="R150" s="125">
        <f>IF($F$4="NO",Valores!$C$45,Valores!$C$45/2)</f>
        <v>27554.83</v>
      </c>
      <c r="S150" s="125">
        <f>Valores!$C$20</f>
        <v>36531.46</v>
      </c>
      <c r="T150" s="125">
        <f t="shared" si="28"/>
        <v>36531.46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Valores!$C$96</f>
        <v>54315.88</v>
      </c>
      <c r="AA150" s="125">
        <f>Valores!$C$25</f>
        <v>1622.32</v>
      </c>
      <c r="AB150" s="214">
        <v>0</v>
      </c>
      <c r="AC150" s="125">
        <f t="shared" si="22"/>
        <v>0</v>
      </c>
      <c r="AD150" s="125">
        <f>Valores!$C$26</f>
        <v>1622.32</v>
      </c>
      <c r="AE150" s="192">
        <v>0</v>
      </c>
      <c r="AF150" s="125">
        <f>ROUND(AE150*Valores!$C$2,2)</f>
        <v>0</v>
      </c>
      <c r="AG150" s="125">
        <f>ROUND(IF($F$4="NO",Valores!$C$64,Valores!$C$64/2),2)</f>
        <v>18547.32</v>
      </c>
      <c r="AH150" s="125">
        <f>SUM(F150,H150,J150,L150,M150,N150,O150,P150,Q150,R150,T150,U150,V150,X150,Y150,Z150,AA150,AC150,AD150,AF150,AG150)*Valores!$C$104</f>
        <v>42228.064000000006</v>
      </c>
      <c r="AI150" s="125">
        <f t="shared" si="25"/>
        <v>464508.70400000003</v>
      </c>
      <c r="AJ150" s="125">
        <f>Valores!$C$31</f>
        <v>35000</v>
      </c>
      <c r="AK150" s="125">
        <v>0</v>
      </c>
      <c r="AL150" s="125">
        <f>Valores!$C$89</f>
        <v>0</v>
      </c>
      <c r="AM150" s="125">
        <f>Valores!C$39*B150</f>
        <v>0</v>
      </c>
      <c r="AN150" s="125">
        <f>IF($F$3="NO",0,Valores!$C$57)</f>
        <v>0</v>
      </c>
      <c r="AO150" s="125">
        <f t="shared" si="23"/>
        <v>35000</v>
      </c>
      <c r="AP150" s="125">
        <f>AI150*Valores!$C$72</f>
        <v>-51095.957440000006</v>
      </c>
      <c r="AQ150" s="125">
        <f>IF(AI150&lt;Valores!$E$73,-0.02,IF(AI150&lt;Valores!$F$73,-0.03,-0.04))*AI150</f>
        <v>-9290.1740800000007</v>
      </c>
      <c r="AR150" s="125">
        <f>AI150*Valores!$C$75</f>
        <v>-25547.978720000003</v>
      </c>
      <c r="AS150" s="125">
        <f>Valores!$C$102</f>
        <v>-1270.1600000000001</v>
      </c>
      <c r="AT150" s="125">
        <f>IF($F$5=0,Valores!$C$103,(Valores!$C$103+$F$5*(Valores!$C$103)))</f>
        <v>-3700</v>
      </c>
      <c r="AU150" s="125">
        <f t="shared" si="26"/>
        <v>408604.43376000004</v>
      </c>
      <c r="AV150" s="125">
        <f t="shared" si="20"/>
        <v>-51095.957440000006</v>
      </c>
      <c r="AW150" s="125">
        <f t="shared" si="27"/>
        <v>-9290.1740800000007</v>
      </c>
      <c r="AX150" s="125">
        <f>AI150*Valores!$C$76</f>
        <v>-12541.735008000001</v>
      </c>
      <c r="AY150" s="125">
        <f>AI150*Valores!$C$77</f>
        <v>-1393.526112</v>
      </c>
      <c r="AZ150" s="125">
        <f t="shared" si="24"/>
        <v>425187.31135999999</v>
      </c>
      <c r="BA150" s="125">
        <f>AI150*Valores!$C$79</f>
        <v>74321.392640000005</v>
      </c>
      <c r="BB150" s="125">
        <f>AI150*Valores!$C$80</f>
        <v>32515.609280000004</v>
      </c>
      <c r="BC150" s="125">
        <f>AI150*Valores!$C$81</f>
        <v>4645.0870400000003</v>
      </c>
      <c r="BD150" s="125">
        <f>AI150*Valores!$C$83</f>
        <v>16257.804640000002</v>
      </c>
      <c r="BE150" s="125">
        <f>AI150*Valores!$C$85</f>
        <v>25083.470016000003</v>
      </c>
      <c r="BF150" s="125">
        <f>AI150*Valores!$C$84</f>
        <v>2787.052224</v>
      </c>
      <c r="BG150" s="126"/>
      <c r="BH150" s="126">
        <v>22</v>
      </c>
      <c r="BI150" s="123" t="s">
        <v>4</v>
      </c>
    </row>
    <row r="151" spans="1:61" s="110" customFormat="1" ht="11.25" customHeight="1" x14ac:dyDescent="0.15">
      <c r="A151" s="123" t="s">
        <v>387</v>
      </c>
      <c r="B151" s="123">
        <v>1</v>
      </c>
      <c r="C151" s="126">
        <v>144</v>
      </c>
      <c r="D151" s="124" t="s">
        <v>388</v>
      </c>
      <c r="E151" s="192">
        <v>1278</v>
      </c>
      <c r="F151" s="125">
        <f>ROUND(E151*Valores!$C$2,2)</f>
        <v>99168.58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40908.06</v>
      </c>
      <c r="N151" s="125">
        <f t="shared" si="21"/>
        <v>0</v>
      </c>
      <c r="O151" s="125">
        <f>Valores!$C$16</f>
        <v>67049.36</v>
      </c>
      <c r="P151" s="125">
        <f>Valores!$D$5</f>
        <v>39667.43</v>
      </c>
      <c r="Q151" s="125">
        <f>Valores!$C$22</f>
        <v>35387.42</v>
      </c>
      <c r="R151" s="125">
        <f>IF($F$4="NO",Valores!$C$45,Valores!$C$45/2)</f>
        <v>27554.83</v>
      </c>
      <c r="S151" s="125">
        <f>Valores!$C$19</f>
        <v>36908.81</v>
      </c>
      <c r="T151" s="125">
        <f t="shared" si="28"/>
        <v>36908.81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Valores!$C$96</f>
        <v>54315.88</v>
      </c>
      <c r="AA151" s="125">
        <f>Valores!$C$25</f>
        <v>1622.32</v>
      </c>
      <c r="AB151" s="214">
        <v>0</v>
      </c>
      <c r="AC151" s="125">
        <f t="shared" si="22"/>
        <v>0</v>
      </c>
      <c r="AD151" s="125">
        <f>Valores!$C$26</f>
        <v>1622.32</v>
      </c>
      <c r="AE151" s="192">
        <v>0</v>
      </c>
      <c r="AF151" s="125">
        <f>ROUND(AE151*Valores!$C$2,2)</f>
        <v>0</v>
      </c>
      <c r="AG151" s="125">
        <f>ROUND(IF($F$4="NO",Valores!$C$64,Valores!$C$64/2),2)</f>
        <v>18547.32</v>
      </c>
      <c r="AH151" s="125">
        <f>SUM(F151,H151,J151,L151,M151,N151,O151,P151,Q151,R151,T151,U151,V151,X151,Y151,Z151,AA151,AC151,AD151,AF151,AG151)*Valores!$C$104</f>
        <v>42275.233000000007</v>
      </c>
      <c r="AI151" s="125">
        <f t="shared" si="25"/>
        <v>465027.56300000002</v>
      </c>
      <c r="AJ151" s="125">
        <f>Valores!$C$31</f>
        <v>35000</v>
      </c>
      <c r="AK151" s="125">
        <v>0</v>
      </c>
      <c r="AL151" s="125">
        <f>Valores!$C$89</f>
        <v>0</v>
      </c>
      <c r="AM151" s="125">
        <f>Valores!C$39*B151</f>
        <v>0</v>
      </c>
      <c r="AN151" s="125">
        <f>IF($F$3="NO",0,Valores!$C$57)</f>
        <v>0</v>
      </c>
      <c r="AO151" s="125">
        <f t="shared" si="23"/>
        <v>35000</v>
      </c>
      <c r="AP151" s="125">
        <f>AI151*Valores!$C$72</f>
        <v>-51153.031930000005</v>
      </c>
      <c r="AQ151" s="125">
        <f>IF(AI151&lt;Valores!$E$73,-0.02,IF(AI151&lt;Valores!$F$73,-0.03,-0.04))*AI151</f>
        <v>-9300.5512600000002</v>
      </c>
      <c r="AR151" s="125">
        <f>AI151*Valores!$C$75</f>
        <v>-25576.515965000002</v>
      </c>
      <c r="AS151" s="125">
        <f>Valores!$C$102</f>
        <v>-1270.1600000000001</v>
      </c>
      <c r="AT151" s="125">
        <f>IF($F$5=0,Valores!$C$103,(Valores!$C$103+$F$5*(Valores!$C$103)))</f>
        <v>-3700</v>
      </c>
      <c r="AU151" s="125">
        <f t="shared" si="26"/>
        <v>409027.30384499999</v>
      </c>
      <c r="AV151" s="125">
        <f t="shared" si="20"/>
        <v>-51153.031930000005</v>
      </c>
      <c r="AW151" s="125">
        <f t="shared" si="27"/>
        <v>-9300.5512600000002</v>
      </c>
      <c r="AX151" s="125">
        <f>AI151*Valores!$C$76</f>
        <v>-12555.744201000001</v>
      </c>
      <c r="AY151" s="125">
        <f>AI151*Valores!$C$77</f>
        <v>-1395.0826890000001</v>
      </c>
      <c r="AZ151" s="125">
        <f t="shared" si="24"/>
        <v>425623.15292000002</v>
      </c>
      <c r="BA151" s="125">
        <f>AI151*Valores!$C$79</f>
        <v>74404.410080000001</v>
      </c>
      <c r="BB151" s="125">
        <f>AI151*Valores!$C$80</f>
        <v>32551.929410000004</v>
      </c>
      <c r="BC151" s="125">
        <f>AI151*Valores!$C$81</f>
        <v>4650.2756300000001</v>
      </c>
      <c r="BD151" s="125">
        <f>AI151*Valores!$C$83</f>
        <v>16275.964705000002</v>
      </c>
      <c r="BE151" s="125">
        <f>AI151*Valores!$C$85</f>
        <v>25111.488402000003</v>
      </c>
      <c r="BF151" s="125">
        <f>AI151*Valores!$C$84</f>
        <v>2790.1653780000001</v>
      </c>
      <c r="BG151" s="126"/>
      <c r="BH151" s="126">
        <v>25</v>
      </c>
      <c r="BI151" s="123" t="s">
        <v>4</v>
      </c>
    </row>
    <row r="152" spans="1:61" s="110" customFormat="1" ht="11.25" customHeight="1" x14ac:dyDescent="0.15">
      <c r="A152" s="123" t="s">
        <v>389</v>
      </c>
      <c r="B152" s="123">
        <v>1</v>
      </c>
      <c r="C152" s="126">
        <v>145</v>
      </c>
      <c r="D152" s="124" t="s">
        <v>390</v>
      </c>
      <c r="E152" s="192">
        <v>1065</v>
      </c>
      <c r="F152" s="125">
        <f>ROUND(E152*Valores!$C$2,2)</f>
        <v>82640.490000000005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36387.9</v>
      </c>
      <c r="N152" s="125">
        <f t="shared" si="21"/>
        <v>0</v>
      </c>
      <c r="O152" s="125">
        <f>Valores!$C$16</f>
        <v>67049.36</v>
      </c>
      <c r="P152" s="125">
        <f>Valores!$D$5</f>
        <v>39667.43</v>
      </c>
      <c r="Q152" s="125">
        <f>Valores!$C$23</f>
        <v>32936.269999999997</v>
      </c>
      <c r="R152" s="125">
        <f>IF($F$4="NO",Valores!$C$44,Valores!$C$44/2)</f>
        <v>26002.29</v>
      </c>
      <c r="S152" s="125">
        <f>Valores!$C$19</f>
        <v>36908.81</v>
      </c>
      <c r="T152" s="125">
        <f t="shared" si="28"/>
        <v>36908.81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Valores!$C$96</f>
        <v>54315.88</v>
      </c>
      <c r="AA152" s="125">
        <f>Valores!$C$25</f>
        <v>1622.32</v>
      </c>
      <c r="AB152" s="214">
        <v>0</v>
      </c>
      <c r="AC152" s="125">
        <f t="shared" si="22"/>
        <v>0</v>
      </c>
      <c r="AD152" s="125">
        <f>Valores!$C$26</f>
        <v>1622.32</v>
      </c>
      <c r="AE152" s="192">
        <v>0</v>
      </c>
      <c r="AF152" s="125">
        <f>ROUND(AE152*Valores!$C$2,2)</f>
        <v>0</v>
      </c>
      <c r="AG152" s="125">
        <f>ROUND(IF($F$4="NO",Valores!$C$64,Valores!$C$64/2),2)</f>
        <v>18547.32</v>
      </c>
      <c r="AH152" s="125">
        <f>SUM(F152,H152,J152,L152,M152,N152,O152,P152,Q152,R152,T152,U152,V152,X152,Y152,Z152,AA152,AC152,AD152,AF152,AG152)*Valores!$C$104</f>
        <v>39770.039000000004</v>
      </c>
      <c r="AI152" s="125">
        <f t="shared" si="25"/>
        <v>437470.429</v>
      </c>
      <c r="AJ152" s="125">
        <f>Valores!$C$31</f>
        <v>35000</v>
      </c>
      <c r="AK152" s="125">
        <v>0</v>
      </c>
      <c r="AL152" s="125">
        <f>Valores!$C$89</f>
        <v>0</v>
      </c>
      <c r="AM152" s="125">
        <f>Valores!C$39*B152</f>
        <v>0</v>
      </c>
      <c r="AN152" s="125">
        <f>IF($F$3="NO",0,Valores!$C$57)</f>
        <v>0</v>
      </c>
      <c r="AO152" s="125">
        <f t="shared" si="23"/>
        <v>35000</v>
      </c>
      <c r="AP152" s="125">
        <f>AI152*Valores!$C$72</f>
        <v>-48121.747190000002</v>
      </c>
      <c r="AQ152" s="125">
        <f>IF(AI152&lt;Valores!$E$73,-0.02,IF(AI152&lt;Valores!$F$73,-0.03,-0.04))*AI152</f>
        <v>-8749.4085799999993</v>
      </c>
      <c r="AR152" s="125">
        <f>AI152*Valores!$C$75</f>
        <v>-24060.873595000001</v>
      </c>
      <c r="AS152" s="125">
        <f>Valores!$C$102</f>
        <v>-1270.1600000000001</v>
      </c>
      <c r="AT152" s="125">
        <f>IF($F$5=0,Valores!$C$103,(Valores!$C$103+$F$5*(Valores!$C$103)))</f>
        <v>-3700</v>
      </c>
      <c r="AU152" s="125">
        <f t="shared" si="26"/>
        <v>386568.23963500001</v>
      </c>
      <c r="AV152" s="125">
        <f t="shared" si="20"/>
        <v>-48121.747190000002</v>
      </c>
      <c r="AW152" s="125">
        <f t="shared" si="27"/>
        <v>-8749.4085799999993</v>
      </c>
      <c r="AX152" s="125">
        <f>AI152*Valores!$C$76</f>
        <v>-11811.701583</v>
      </c>
      <c r="AY152" s="125">
        <f>AI152*Valores!$C$77</f>
        <v>-1312.4112870000001</v>
      </c>
      <c r="AZ152" s="125">
        <f t="shared" si="24"/>
        <v>402475.16035999998</v>
      </c>
      <c r="BA152" s="125">
        <f>AI152*Valores!$C$79</f>
        <v>69995.268639999995</v>
      </c>
      <c r="BB152" s="125">
        <f>AI152*Valores!$C$80</f>
        <v>30622.930030000003</v>
      </c>
      <c r="BC152" s="125">
        <f>AI152*Valores!$C$81</f>
        <v>4374.7042899999997</v>
      </c>
      <c r="BD152" s="125">
        <f>AI152*Valores!$C$83</f>
        <v>15311.465015000002</v>
      </c>
      <c r="BE152" s="125">
        <f>AI152*Valores!$C$85</f>
        <v>23623.403166</v>
      </c>
      <c r="BF152" s="125">
        <f>AI152*Valores!$C$84</f>
        <v>2624.8225740000003</v>
      </c>
      <c r="BG152" s="126"/>
      <c r="BH152" s="126">
        <v>25</v>
      </c>
      <c r="BI152" s="123" t="s">
        <v>4</v>
      </c>
    </row>
    <row r="153" spans="1:61" s="110" customFormat="1" ht="11.25" customHeight="1" x14ac:dyDescent="0.15">
      <c r="A153" s="123" t="s">
        <v>391</v>
      </c>
      <c r="B153" s="123">
        <v>1</v>
      </c>
      <c r="C153" s="126">
        <v>146</v>
      </c>
      <c r="D153" s="124" t="s">
        <v>392</v>
      </c>
      <c r="E153" s="192">
        <v>947</v>
      </c>
      <c r="F153" s="125">
        <f>ROUND(E153*Valores!$C$2,2)</f>
        <v>73484.070000000007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34098.79</v>
      </c>
      <c r="N153" s="125">
        <f t="shared" si="21"/>
        <v>0</v>
      </c>
      <c r="O153" s="125">
        <f>Valores!$C$16</f>
        <v>67049.36</v>
      </c>
      <c r="P153" s="125">
        <f>Valores!$D$5</f>
        <v>39667.43</v>
      </c>
      <c r="Q153" s="125">
        <f>Valores!$C$23</f>
        <v>32936.269999999997</v>
      </c>
      <c r="R153" s="125">
        <f>IF($F$4="NO",Valores!$C$44,Valores!$C$44/2)</f>
        <v>26002.29</v>
      </c>
      <c r="S153" s="125">
        <f>Valores!$C$19</f>
        <v>36908.81</v>
      </c>
      <c r="T153" s="125">
        <f t="shared" si="28"/>
        <v>36908.81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Valores!$C$96</f>
        <v>54315.88</v>
      </c>
      <c r="AA153" s="125">
        <f>Valores!$C$25</f>
        <v>1622.32</v>
      </c>
      <c r="AB153" s="214">
        <v>0</v>
      </c>
      <c r="AC153" s="125">
        <f t="shared" si="22"/>
        <v>0</v>
      </c>
      <c r="AD153" s="125">
        <f>Valores!$C$26</f>
        <v>1622.32</v>
      </c>
      <c r="AE153" s="192">
        <v>0</v>
      </c>
      <c r="AF153" s="125">
        <f>ROUND(AE153*Valores!$C$2,2)</f>
        <v>0</v>
      </c>
      <c r="AG153" s="125">
        <f>ROUND(IF($F$4="NO",Valores!$C$64,Valores!$C$64/2),2)</f>
        <v>18547.32</v>
      </c>
      <c r="AH153" s="125">
        <f>SUM(F153,H153,J153,L153,M153,N153,O153,P153,Q153,R153,T153,U153,V153,X153,Y153,Z153,AA153,AC153,AD153,AF153,AG153)*Valores!$C$104</f>
        <v>38625.486000000004</v>
      </c>
      <c r="AI153" s="125">
        <f t="shared" si="25"/>
        <v>424880.34600000002</v>
      </c>
      <c r="AJ153" s="125">
        <f>Valores!$C$31</f>
        <v>35000</v>
      </c>
      <c r="AK153" s="125">
        <v>0</v>
      </c>
      <c r="AL153" s="125">
        <f>Valores!$C$89</f>
        <v>0</v>
      </c>
      <c r="AM153" s="125">
        <f>Valores!C$39*B153</f>
        <v>0</v>
      </c>
      <c r="AN153" s="125">
        <f>IF($F$3="NO",0,Valores!$C$57)</f>
        <v>0</v>
      </c>
      <c r="AO153" s="125">
        <f t="shared" si="23"/>
        <v>35000</v>
      </c>
      <c r="AP153" s="125">
        <f>AI153*Valores!$C$72</f>
        <v>-46736.838060000002</v>
      </c>
      <c r="AQ153" s="125">
        <f>IF(AI153&lt;Valores!$E$73,-0.02,IF(AI153&lt;Valores!$F$73,-0.03,-0.04))*AI153</f>
        <v>-8497.6069200000002</v>
      </c>
      <c r="AR153" s="125">
        <f>AI153*Valores!$C$75</f>
        <v>-23368.419030000001</v>
      </c>
      <c r="AS153" s="125">
        <f>Valores!$C$102</f>
        <v>-1270.1600000000001</v>
      </c>
      <c r="AT153" s="125">
        <f>IF($F$5=0,Valores!$C$103,(Valores!$C$103+$F$5*(Valores!$C$103)))</f>
        <v>-3700</v>
      </c>
      <c r="AU153" s="125">
        <f t="shared" si="26"/>
        <v>376307.32199000003</v>
      </c>
      <c r="AV153" s="125">
        <f t="shared" si="20"/>
        <v>-46736.838060000002</v>
      </c>
      <c r="AW153" s="125">
        <f t="shared" si="27"/>
        <v>-8497.6069200000002</v>
      </c>
      <c r="AX153" s="125">
        <f>AI153*Valores!$C$76</f>
        <v>-11471.769342</v>
      </c>
      <c r="AY153" s="125">
        <f>AI153*Valores!$C$77</f>
        <v>-1274.641038</v>
      </c>
      <c r="AZ153" s="125">
        <f t="shared" si="24"/>
        <v>391899.49064000003</v>
      </c>
      <c r="BA153" s="125">
        <f>AI153*Valores!$C$79</f>
        <v>67980.855360000001</v>
      </c>
      <c r="BB153" s="125">
        <f>AI153*Valores!$C$80</f>
        <v>29741.624220000005</v>
      </c>
      <c r="BC153" s="125">
        <f>AI153*Valores!$C$81</f>
        <v>4248.8034600000001</v>
      </c>
      <c r="BD153" s="125">
        <f>AI153*Valores!$C$83</f>
        <v>14870.812110000003</v>
      </c>
      <c r="BE153" s="125">
        <f>AI153*Valores!$C$85</f>
        <v>22943.538683999999</v>
      </c>
      <c r="BF153" s="125">
        <f>AI153*Valores!$C$84</f>
        <v>2549.282076</v>
      </c>
      <c r="BG153" s="126"/>
      <c r="BH153" s="126">
        <v>22</v>
      </c>
      <c r="BI153" s="123" t="s">
        <v>4</v>
      </c>
    </row>
    <row r="154" spans="1:61" s="110" customFormat="1" ht="11.25" customHeight="1" x14ac:dyDescent="0.15">
      <c r="A154" s="123" t="s">
        <v>393</v>
      </c>
      <c r="B154" s="123">
        <v>1</v>
      </c>
      <c r="C154" s="126">
        <v>147</v>
      </c>
      <c r="D154" s="124" t="s">
        <v>394</v>
      </c>
      <c r="E154" s="192">
        <v>1800</v>
      </c>
      <c r="F154" s="125">
        <f>ROUND(E154*Valores!$C$2,2)</f>
        <v>139674.06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54512.18</v>
      </c>
      <c r="N154" s="125">
        <f t="shared" si="21"/>
        <v>0</v>
      </c>
      <c r="O154" s="125">
        <f>Valores!$C$8</f>
        <v>97252.17</v>
      </c>
      <c r="P154" s="125">
        <f>Valores!$D$5</f>
        <v>39667.43</v>
      </c>
      <c r="Q154" s="125">
        <f>Valores!$C$22</f>
        <v>35387.42</v>
      </c>
      <c r="R154" s="125">
        <f>IF($F$4="NO",Valores!$C$48,Valores!$C$48/2)</f>
        <v>41465.839999999997</v>
      </c>
      <c r="S154" s="125">
        <f>Valores!$C$19</f>
        <v>36908.81</v>
      </c>
      <c r="T154" s="125">
        <f t="shared" si="28"/>
        <v>36908.81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Valores!$C$98</f>
        <v>108631.74</v>
      </c>
      <c r="AA154" s="125">
        <f>Valores!$C$25</f>
        <v>1622.32</v>
      </c>
      <c r="AB154" s="214">
        <v>0</v>
      </c>
      <c r="AC154" s="125">
        <f t="shared" si="22"/>
        <v>0</v>
      </c>
      <c r="AD154" s="125">
        <f>Valores!$C$26</f>
        <v>1622.32</v>
      </c>
      <c r="AE154" s="192">
        <v>0</v>
      </c>
      <c r="AF154" s="125">
        <f>ROUND(AE154*Valores!$C$2,2)</f>
        <v>0</v>
      </c>
      <c r="AG154" s="125">
        <f>ROUND(IF($F$4="NO",Valores!$C$64,Valores!$C$64/2),2)</f>
        <v>18547.32</v>
      </c>
      <c r="AH154" s="125">
        <f>SUM(F154,H154,J154,L154,M154,N154,O154,P154,Q154,R154,T154,U154,V154,X154,Y154,Z154,AA154,AC154,AD154,AF154,AG154)*Valores!$C$104</f>
        <v>57529.160999999993</v>
      </c>
      <c r="AI154" s="125">
        <f t="shared" si="25"/>
        <v>632820.77099999983</v>
      </c>
      <c r="AJ154" s="125">
        <f>Valores!$C$32</f>
        <v>70000</v>
      </c>
      <c r="AK154" s="125">
        <v>0</v>
      </c>
      <c r="AL154" s="125">
        <f>Valores!$C$91</f>
        <v>0</v>
      </c>
      <c r="AM154" s="125">
        <f>Valores!C$39*B154</f>
        <v>0</v>
      </c>
      <c r="AN154" s="125">
        <f>IF($F$3="NO",0,Valores!$C$57)</f>
        <v>0</v>
      </c>
      <c r="AO154" s="125">
        <f t="shared" si="23"/>
        <v>70000</v>
      </c>
      <c r="AP154" s="125">
        <f>AI154*Valores!$C$72</f>
        <v>-69610.284809999983</v>
      </c>
      <c r="AQ154" s="125">
        <f>IF(AI154&lt;Valores!$E$73,-0.02,IF(AI154&lt;Valores!$F$73,-0.03,-0.04))*AI154</f>
        <v>-12656.415419999998</v>
      </c>
      <c r="AR154" s="125">
        <f>AI154*Valores!$C$75</f>
        <v>-34805.142404999991</v>
      </c>
      <c r="AS154" s="125">
        <f>Valores!$C$102</f>
        <v>-1270.1600000000001</v>
      </c>
      <c r="AT154" s="125">
        <f>IF($F$5=0,Valores!$C$103,(Valores!$C$103+$F$5*(Valores!$C$103)))</f>
        <v>-3700</v>
      </c>
      <c r="AU154" s="125">
        <f t="shared" si="26"/>
        <v>580778.76836499991</v>
      </c>
      <c r="AV154" s="125">
        <f t="shared" si="20"/>
        <v>-69610.284809999983</v>
      </c>
      <c r="AW154" s="125">
        <f t="shared" si="27"/>
        <v>-12656.415419999998</v>
      </c>
      <c r="AX154" s="125">
        <f>AI154*Valores!$C$76</f>
        <v>-17086.160816999996</v>
      </c>
      <c r="AY154" s="125">
        <f>AI154*Valores!$C$77</f>
        <v>-1898.4623129999995</v>
      </c>
      <c r="AZ154" s="125">
        <f t="shared" si="24"/>
        <v>601569.44763999991</v>
      </c>
      <c r="BA154" s="125">
        <f>AI154*Valores!$C$79</f>
        <v>101251.32335999998</v>
      </c>
      <c r="BB154" s="125">
        <f>AI154*Valores!$C$80</f>
        <v>44297.453969999995</v>
      </c>
      <c r="BC154" s="125">
        <f>AI154*Valores!$C$81</f>
        <v>6328.2077099999988</v>
      </c>
      <c r="BD154" s="125">
        <f>AI154*Valores!$C$83</f>
        <v>22148.726984999998</v>
      </c>
      <c r="BE154" s="125">
        <f>AI154*Valores!$C$85</f>
        <v>34172.321633999993</v>
      </c>
      <c r="BF154" s="125">
        <f>AI154*Valores!$C$84</f>
        <v>3796.9246259999991</v>
      </c>
      <c r="BG154" s="126"/>
      <c r="BH154" s="126"/>
      <c r="BI154" s="123" t="s">
        <v>4</v>
      </c>
    </row>
    <row r="155" spans="1:61" s="110" customFormat="1" ht="11.25" customHeight="1" x14ac:dyDescent="0.15">
      <c r="A155" s="123" t="s">
        <v>395</v>
      </c>
      <c r="B155" s="123">
        <v>1</v>
      </c>
      <c r="C155" s="126">
        <v>148</v>
      </c>
      <c r="D155" s="124" t="s">
        <v>396</v>
      </c>
      <c r="E155" s="192">
        <v>1278</v>
      </c>
      <c r="F155" s="125">
        <f>ROUND(E155*Valores!$C$2,2)</f>
        <v>99168.58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40908.06</v>
      </c>
      <c r="N155" s="125">
        <f t="shared" si="21"/>
        <v>0</v>
      </c>
      <c r="O155" s="125">
        <f>Valores!$C$8</f>
        <v>97252.17</v>
      </c>
      <c r="P155" s="125">
        <f>Valores!$D$5</f>
        <v>39667.43</v>
      </c>
      <c r="Q155" s="125">
        <f>Valores!$C$22</f>
        <v>35387.42</v>
      </c>
      <c r="R155" s="125">
        <f>IF($F$4="NO",Valores!$C$45,Valores!$C$45/2)</f>
        <v>27554.83</v>
      </c>
      <c r="S155" s="125">
        <f>Valores!$C$19</f>
        <v>36908.81</v>
      </c>
      <c r="T155" s="125">
        <f t="shared" si="28"/>
        <v>36908.81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Valores!$C$96</f>
        <v>54315.88</v>
      </c>
      <c r="AA155" s="125">
        <f>Valores!$C$25</f>
        <v>1622.32</v>
      </c>
      <c r="AB155" s="214">
        <v>0</v>
      </c>
      <c r="AC155" s="125">
        <f t="shared" si="22"/>
        <v>0</v>
      </c>
      <c r="AD155" s="125">
        <f>Valores!$C$26</f>
        <v>1622.32</v>
      </c>
      <c r="AE155" s="192">
        <v>0</v>
      </c>
      <c r="AF155" s="125">
        <f>ROUND(AE155*Valores!$C$2,2)</f>
        <v>0</v>
      </c>
      <c r="AG155" s="125">
        <f>ROUND(IF($F$4="NO",Valores!$C$64,Valores!$C$64/2),2)</f>
        <v>18547.32</v>
      </c>
      <c r="AH155" s="125">
        <f>SUM(F155,H155,J155,L155,M155,N155,O155,P155,Q155,R155,T155,U155,V155,X155,Y155,Z155,AA155,AC155,AD155,AF155,AG155)*Valores!$C$104</f>
        <v>45295.514000000003</v>
      </c>
      <c r="AI155" s="125">
        <f t="shared" si="25"/>
        <v>498250.65400000004</v>
      </c>
      <c r="AJ155" s="125">
        <f>Valores!$C$31</f>
        <v>35000</v>
      </c>
      <c r="AK155" s="125">
        <v>0</v>
      </c>
      <c r="AL155" s="125">
        <f>Valores!$C$89</f>
        <v>0</v>
      </c>
      <c r="AM155" s="125">
        <f>Valores!C$39*B155</f>
        <v>0</v>
      </c>
      <c r="AN155" s="125">
        <f>IF($F$3="NO",0,Valores!$C$57)</f>
        <v>0</v>
      </c>
      <c r="AO155" s="125">
        <f t="shared" si="23"/>
        <v>35000</v>
      </c>
      <c r="AP155" s="125">
        <f>AI155*Valores!$C$72</f>
        <v>-54807.571940000002</v>
      </c>
      <c r="AQ155" s="125">
        <f>IF(AI155&lt;Valores!$E$73,-0.02,IF(AI155&lt;Valores!$F$73,-0.03,-0.04))*AI155</f>
        <v>-9965.0130800000006</v>
      </c>
      <c r="AR155" s="125">
        <f>AI155*Valores!$C$75</f>
        <v>-27403.785970000001</v>
      </c>
      <c r="AS155" s="125">
        <f>Valores!$C$102</f>
        <v>-1270.1600000000001</v>
      </c>
      <c r="AT155" s="125">
        <f>IF($F$5=0,Valores!$C$103,(Valores!$C$103+$F$5*(Valores!$C$103)))</f>
        <v>-3700</v>
      </c>
      <c r="AU155" s="125">
        <f t="shared" si="26"/>
        <v>436104.12301000004</v>
      </c>
      <c r="AV155" s="125">
        <f t="shared" si="20"/>
        <v>-54807.571940000002</v>
      </c>
      <c r="AW155" s="125">
        <f t="shared" si="27"/>
        <v>-9965.0130800000006</v>
      </c>
      <c r="AX155" s="125">
        <f>AI155*Valores!$C$76</f>
        <v>-13452.767658000001</v>
      </c>
      <c r="AY155" s="125">
        <f>AI155*Valores!$C$77</f>
        <v>-1494.751962</v>
      </c>
      <c r="AZ155" s="125">
        <f t="shared" si="24"/>
        <v>453530.54936000012</v>
      </c>
      <c r="BA155" s="125">
        <f>AI155*Valores!$C$79</f>
        <v>79720.104640000005</v>
      </c>
      <c r="BB155" s="125">
        <f>AI155*Valores!$C$80</f>
        <v>34877.545780000008</v>
      </c>
      <c r="BC155" s="125">
        <f>AI155*Valores!$C$81</f>
        <v>4982.5065400000003</v>
      </c>
      <c r="BD155" s="125">
        <f>AI155*Valores!$C$83</f>
        <v>17438.772890000004</v>
      </c>
      <c r="BE155" s="125">
        <f>AI155*Valores!$C$85</f>
        <v>26905.535316000001</v>
      </c>
      <c r="BF155" s="125">
        <f>AI155*Valores!$C$84</f>
        <v>2989.5039240000001</v>
      </c>
      <c r="BG155" s="126"/>
      <c r="BH155" s="126">
        <v>27</v>
      </c>
      <c r="BI155" s="123" t="s">
        <v>4</v>
      </c>
    </row>
    <row r="156" spans="1:61" s="110" customFormat="1" ht="11.25" customHeight="1" x14ac:dyDescent="0.15">
      <c r="A156" s="123" t="s">
        <v>397</v>
      </c>
      <c r="B156" s="123">
        <v>1</v>
      </c>
      <c r="C156" s="126">
        <v>149</v>
      </c>
      <c r="D156" s="124" t="s">
        <v>398</v>
      </c>
      <c r="E156" s="192">
        <v>1214</v>
      </c>
      <c r="F156" s="125">
        <f>ROUND(E156*Valores!$C$2,2)</f>
        <v>94202.39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39666.51</v>
      </c>
      <c r="N156" s="125">
        <f t="shared" si="21"/>
        <v>0</v>
      </c>
      <c r="O156" s="125">
        <f>Valores!$C$16</f>
        <v>67049.36</v>
      </c>
      <c r="P156" s="125">
        <f>Valores!$D$5</f>
        <v>39667.43</v>
      </c>
      <c r="Q156" s="125">
        <f>Valores!$C$22</f>
        <v>35387.42</v>
      </c>
      <c r="R156" s="125">
        <f>IF($F$4="NO",Valores!$C$45,Valores!$C$45/2)</f>
        <v>27554.83</v>
      </c>
      <c r="S156" s="125">
        <f>Valores!$C$19</f>
        <v>36908.81</v>
      </c>
      <c r="T156" s="125">
        <f t="shared" si="28"/>
        <v>36908.81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Valores!$C$96</f>
        <v>54315.88</v>
      </c>
      <c r="AA156" s="125">
        <f>Valores!$C$25</f>
        <v>1622.32</v>
      </c>
      <c r="AB156" s="214">
        <v>0</v>
      </c>
      <c r="AC156" s="125">
        <f t="shared" si="22"/>
        <v>0</v>
      </c>
      <c r="AD156" s="125">
        <f>Valores!$C$26</f>
        <v>1622.32</v>
      </c>
      <c r="AE156" s="192">
        <v>0</v>
      </c>
      <c r="AF156" s="125">
        <f>ROUND(AE156*Valores!$C$2,2)</f>
        <v>0</v>
      </c>
      <c r="AG156" s="125">
        <f>ROUND(IF($F$4="NO",Valores!$C$64,Valores!$C$64/2),2)</f>
        <v>18547.32</v>
      </c>
      <c r="AH156" s="125">
        <f>SUM(F156,H156,J156,L156,M156,N156,O156,P156,Q156,R156,T156,U156,V156,X156,Y156,Z156,AA156,AC156,AD156,AF156,AG156)*Valores!$C$104</f>
        <v>41654.459000000003</v>
      </c>
      <c r="AI156" s="125">
        <f t="shared" si="25"/>
        <v>458199.049</v>
      </c>
      <c r="AJ156" s="125">
        <f>Valores!$C$31</f>
        <v>35000</v>
      </c>
      <c r="AK156" s="125">
        <v>0</v>
      </c>
      <c r="AL156" s="125">
        <f>Valores!$C$89</f>
        <v>0</v>
      </c>
      <c r="AM156" s="125">
        <f>Valores!C$39*B156</f>
        <v>0</v>
      </c>
      <c r="AN156" s="125">
        <f>IF($F$3="NO",0,Valores!$C$57)</f>
        <v>0</v>
      </c>
      <c r="AO156" s="125">
        <f t="shared" si="23"/>
        <v>35000</v>
      </c>
      <c r="AP156" s="125">
        <f>AI156*Valores!$C$72</f>
        <v>-50401.895389999998</v>
      </c>
      <c r="AQ156" s="125">
        <f>IF(AI156&lt;Valores!$E$73,-0.02,IF(AI156&lt;Valores!$F$73,-0.03,-0.04))*AI156</f>
        <v>-9163.9809800000003</v>
      </c>
      <c r="AR156" s="125">
        <f>AI156*Valores!$C$75</f>
        <v>-25200.947694999999</v>
      </c>
      <c r="AS156" s="125">
        <f>Valores!$C$102</f>
        <v>-1270.1600000000001</v>
      </c>
      <c r="AT156" s="125">
        <f>IF($F$5=0,Valores!$C$103,(Valores!$C$103+$F$5*(Valores!$C$103)))</f>
        <v>-3700</v>
      </c>
      <c r="AU156" s="125">
        <f t="shared" si="26"/>
        <v>403462.06493500003</v>
      </c>
      <c r="AV156" s="125">
        <f t="shared" si="20"/>
        <v>-50401.895389999998</v>
      </c>
      <c r="AW156" s="125">
        <f t="shared" si="27"/>
        <v>-9163.9809800000003</v>
      </c>
      <c r="AX156" s="125">
        <f>AI156*Valores!$C$76</f>
        <v>-12371.374323</v>
      </c>
      <c r="AY156" s="125">
        <f>AI156*Valores!$C$77</f>
        <v>-1374.5971469999999</v>
      </c>
      <c r="AZ156" s="125">
        <f t="shared" si="24"/>
        <v>419887.20116</v>
      </c>
      <c r="BA156" s="125">
        <f>AI156*Valores!$C$79</f>
        <v>73311.847840000002</v>
      </c>
      <c r="BB156" s="125">
        <f>AI156*Valores!$C$80</f>
        <v>32073.933430000005</v>
      </c>
      <c r="BC156" s="125">
        <f>AI156*Valores!$C$81</f>
        <v>4581.9904900000001</v>
      </c>
      <c r="BD156" s="125">
        <f>AI156*Valores!$C$83</f>
        <v>16036.966715000002</v>
      </c>
      <c r="BE156" s="125">
        <f>AI156*Valores!$C$85</f>
        <v>24742.748646</v>
      </c>
      <c r="BF156" s="125">
        <f>AI156*Valores!$C$84</f>
        <v>2749.1942939999999</v>
      </c>
      <c r="BG156" s="126"/>
      <c r="BH156" s="126"/>
      <c r="BI156" s="123" t="s">
        <v>4</v>
      </c>
    </row>
    <row r="157" spans="1:61" s="110" customFormat="1" ht="11.25" customHeight="1" x14ac:dyDescent="0.15">
      <c r="A157" s="123" t="s">
        <v>399</v>
      </c>
      <c r="B157" s="123">
        <v>1</v>
      </c>
      <c r="C157" s="126">
        <v>150</v>
      </c>
      <c r="D157" s="124" t="s">
        <v>400</v>
      </c>
      <c r="E157" s="192">
        <f>1106+78</f>
        <v>1184</v>
      </c>
      <c r="F157" s="125">
        <f>ROUND(E157*Valores!$C$2,2)</f>
        <v>91874.49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38990.199999999997</v>
      </c>
      <c r="N157" s="125">
        <f t="shared" si="21"/>
        <v>0</v>
      </c>
      <c r="O157" s="125">
        <f>Valores!$C$16</f>
        <v>67049.36</v>
      </c>
      <c r="P157" s="125">
        <f>Valores!$D$5</f>
        <v>39667.43</v>
      </c>
      <c r="Q157" s="125">
        <v>0</v>
      </c>
      <c r="R157" s="125">
        <f>IF($F$4="NO",Valores!$C$45,Valores!$C$45/2)</f>
        <v>27554.83</v>
      </c>
      <c r="S157" s="125">
        <f>Valores!$C$20</f>
        <v>36531.46</v>
      </c>
      <c r="T157" s="125">
        <f t="shared" si="28"/>
        <v>36531.46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Valores!$C$96</f>
        <v>54315.88</v>
      </c>
      <c r="AA157" s="125">
        <f>Valores!$C$25</f>
        <v>1622.32</v>
      </c>
      <c r="AB157" s="214">
        <v>0</v>
      </c>
      <c r="AC157" s="125">
        <f t="shared" si="22"/>
        <v>0</v>
      </c>
      <c r="AD157" s="125">
        <f>Valores!$C$26</f>
        <v>1622.32</v>
      </c>
      <c r="AE157" s="192">
        <v>0</v>
      </c>
      <c r="AF157" s="125">
        <f>ROUND(AE157*Valores!$C$2,2)</f>
        <v>0</v>
      </c>
      <c r="AG157" s="125">
        <f>ROUND(IF($F$4="NO",Valores!$C$64,Valores!$C$64/2),2)</f>
        <v>18547.32</v>
      </c>
      <c r="AH157" s="125">
        <f>SUM(F157,H157,J157,L157,M157,N157,O157,P157,Q157,R157,T157,U157,V157,X157,Y157,Z157,AA157,AC157,AD157,AF157,AG157)*Valores!$C$104</f>
        <v>37777.561000000009</v>
      </c>
      <c r="AI157" s="125">
        <f t="shared" si="25"/>
        <v>415553.17100000003</v>
      </c>
      <c r="AJ157" s="125">
        <f>Valores!$C$31</f>
        <v>35000</v>
      </c>
      <c r="AK157" s="125">
        <v>0</v>
      </c>
      <c r="AL157" s="125">
        <f>Valores!$C$89</f>
        <v>0</v>
      </c>
      <c r="AM157" s="125">
        <f>Valores!C$39*B157</f>
        <v>0</v>
      </c>
      <c r="AN157" s="125">
        <f>IF($F$3="NO",0,Valores!$C$57)</f>
        <v>0</v>
      </c>
      <c r="AO157" s="125">
        <f t="shared" si="23"/>
        <v>35000</v>
      </c>
      <c r="AP157" s="125">
        <f>AI157*Valores!$C$72</f>
        <v>-45710.848810000003</v>
      </c>
      <c r="AQ157" s="125">
        <f>IF(AI157&lt;Valores!$E$73,-0.02,IF(AI157&lt;Valores!$F$73,-0.03,-0.04))*AI157</f>
        <v>-8311.0634200000004</v>
      </c>
      <c r="AR157" s="125">
        <f>AI157*Valores!$C$75</f>
        <v>-22855.424405000002</v>
      </c>
      <c r="AS157" s="125">
        <f>Valores!$C$102</f>
        <v>-1270.1600000000001</v>
      </c>
      <c r="AT157" s="125">
        <f>IF($F$5=0,Valores!$C$103,(Valores!$C$103+$F$5*(Valores!$C$103)))</f>
        <v>-3700</v>
      </c>
      <c r="AU157" s="125">
        <f t="shared" si="26"/>
        <v>368705.67436500004</v>
      </c>
      <c r="AV157" s="125">
        <f t="shared" si="20"/>
        <v>-45710.848810000003</v>
      </c>
      <c r="AW157" s="125">
        <f t="shared" si="27"/>
        <v>-8311.0634200000004</v>
      </c>
      <c r="AX157" s="125">
        <f>AI157*Valores!$C$76</f>
        <v>-11219.935617000001</v>
      </c>
      <c r="AY157" s="125">
        <f>AI157*Valores!$C$77</f>
        <v>-1246.6595130000001</v>
      </c>
      <c r="AZ157" s="125">
        <f t="shared" si="24"/>
        <v>384064.66364000004</v>
      </c>
      <c r="BA157" s="125">
        <f>AI157*Valores!$C$79</f>
        <v>66488.507360000003</v>
      </c>
      <c r="BB157" s="125">
        <f>AI157*Valores!$C$80</f>
        <v>29088.721970000006</v>
      </c>
      <c r="BC157" s="125">
        <f>AI157*Valores!$C$81</f>
        <v>4155.5317100000002</v>
      </c>
      <c r="BD157" s="125">
        <f>AI157*Valores!$C$83</f>
        <v>14544.360985000003</v>
      </c>
      <c r="BE157" s="125">
        <f>AI157*Valores!$C$85</f>
        <v>22439.871234000002</v>
      </c>
      <c r="BF157" s="125">
        <f>AI157*Valores!$C$84</f>
        <v>2493.3190260000001</v>
      </c>
      <c r="BG157" s="126"/>
      <c r="BH157" s="126"/>
      <c r="BI157" s="123" t="s">
        <v>8</v>
      </c>
    </row>
    <row r="158" spans="1:61" s="110" customFormat="1" ht="11.25" customHeight="1" x14ac:dyDescent="0.15">
      <c r="A158" s="123" t="s">
        <v>401</v>
      </c>
      <c r="B158" s="123">
        <v>1</v>
      </c>
      <c r="C158" s="126">
        <v>151</v>
      </c>
      <c r="D158" s="124" t="s">
        <v>402</v>
      </c>
      <c r="E158" s="192">
        <v>971</v>
      </c>
      <c r="F158" s="125">
        <f>ROUND(E158*Valores!$C$2,2)</f>
        <v>75346.399999999994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34564.379999999997</v>
      </c>
      <c r="N158" s="125">
        <f t="shared" si="21"/>
        <v>0</v>
      </c>
      <c r="O158" s="125">
        <f>Valores!$C$16</f>
        <v>67049.36</v>
      </c>
      <c r="P158" s="125">
        <f>Valores!$D$5</f>
        <v>39667.43</v>
      </c>
      <c r="Q158" s="125">
        <f>Valores!$C$23</f>
        <v>32936.269999999997</v>
      </c>
      <c r="R158" s="125">
        <f>IF($F$4="NO",Valores!$C$44,Valores!$C$44/2)</f>
        <v>26002.29</v>
      </c>
      <c r="S158" s="125">
        <f>Valores!$C$19</f>
        <v>36908.81</v>
      </c>
      <c r="T158" s="125">
        <f t="shared" si="28"/>
        <v>36908.81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Valores!$C$96</f>
        <v>54315.88</v>
      </c>
      <c r="AA158" s="125">
        <f>Valores!$C$25</f>
        <v>1622.32</v>
      </c>
      <c r="AB158" s="214">
        <v>0</v>
      </c>
      <c r="AC158" s="125">
        <f t="shared" si="22"/>
        <v>0</v>
      </c>
      <c r="AD158" s="125">
        <f>Valores!$C$25</f>
        <v>1622.32</v>
      </c>
      <c r="AE158" s="192">
        <v>0</v>
      </c>
      <c r="AF158" s="125">
        <f>ROUND(AE158*Valores!$C$2,2)</f>
        <v>0</v>
      </c>
      <c r="AG158" s="125">
        <f>ROUND(IF($F$4="NO",Valores!$C$64,Valores!$C$64/2),2)</f>
        <v>18547.32</v>
      </c>
      <c r="AH158" s="125">
        <f>SUM(F158,H158,J158,L158,M158,N158,O158,P158,Q158,R158,T158,U158,V158,X158,Y158,Z158,AA158,AC158,AD158,AF158,AG158)*Valores!$C$104</f>
        <v>38858.278000000006</v>
      </c>
      <c r="AI158" s="125">
        <f t="shared" si="25"/>
        <v>427441.05800000002</v>
      </c>
      <c r="AJ158" s="125">
        <f>Valores!$C$31</f>
        <v>35000</v>
      </c>
      <c r="AK158" s="125">
        <v>0</v>
      </c>
      <c r="AL158" s="125">
        <f>Valores!$C$89</f>
        <v>0</v>
      </c>
      <c r="AM158" s="125">
        <f>Valores!C$39*B158</f>
        <v>0</v>
      </c>
      <c r="AN158" s="125">
        <f>(IF($F$3="NO",0,Valores!$C$59))</f>
        <v>0</v>
      </c>
      <c r="AO158" s="125">
        <f t="shared" si="23"/>
        <v>35000</v>
      </c>
      <c r="AP158" s="125">
        <f>AI158*Valores!$C$72</f>
        <v>-47018.516380000001</v>
      </c>
      <c r="AQ158" s="125">
        <f>IF(AI158&lt;Valores!$E$73,-0.02,IF(AI158&lt;Valores!$F$73,-0.03,-0.04))*AI158</f>
        <v>-8548.8211600000013</v>
      </c>
      <c r="AR158" s="125">
        <f>AI158*Valores!$C$75</f>
        <v>-23509.25819</v>
      </c>
      <c r="AS158" s="125">
        <f>Valores!$C$102</f>
        <v>-1270.1600000000001</v>
      </c>
      <c r="AT158" s="125">
        <f>IF($F$5=0,Valores!$C$103,(Valores!$C$103+$F$5*(Valores!$C$103)))</f>
        <v>-3700</v>
      </c>
      <c r="AU158" s="125">
        <f t="shared" si="26"/>
        <v>378394.30226999999</v>
      </c>
      <c r="AV158" s="125">
        <f t="shared" si="20"/>
        <v>-47018.516380000001</v>
      </c>
      <c r="AW158" s="125">
        <f t="shared" si="27"/>
        <v>-8548.8211600000013</v>
      </c>
      <c r="AX158" s="125">
        <f>AI158*Valores!$C$76</f>
        <v>-11540.908566</v>
      </c>
      <c r="AY158" s="125">
        <f>AI158*Valores!$C$77</f>
        <v>-1282.3231740000001</v>
      </c>
      <c r="AZ158" s="125">
        <f t="shared" si="24"/>
        <v>394050.48872000002</v>
      </c>
      <c r="BA158" s="125">
        <f>AI158*Valores!$C$79</f>
        <v>68390.569280000011</v>
      </c>
      <c r="BB158" s="125">
        <f>AI158*Valores!$C$80</f>
        <v>29920.874060000006</v>
      </c>
      <c r="BC158" s="125">
        <f>AI158*Valores!$C$81</f>
        <v>4274.4105800000007</v>
      </c>
      <c r="BD158" s="125">
        <f>AI158*Valores!$C$83</f>
        <v>14960.437030000003</v>
      </c>
      <c r="BE158" s="125">
        <f>AI158*Valores!$C$85</f>
        <v>23081.817132</v>
      </c>
      <c r="BF158" s="125">
        <f>AI158*Valores!$C$84</f>
        <v>2564.6463480000002</v>
      </c>
      <c r="BG158" s="126">
        <v>12</v>
      </c>
      <c r="BH158" s="126">
        <v>12</v>
      </c>
      <c r="BI158" s="123" t="s">
        <v>4</v>
      </c>
    </row>
    <row r="159" spans="1:61" s="110" customFormat="1" ht="11.25" customHeight="1" x14ac:dyDescent="0.15">
      <c r="A159" s="123" t="s">
        <v>401</v>
      </c>
      <c r="B159" s="123">
        <v>1</v>
      </c>
      <c r="C159" s="126">
        <v>152</v>
      </c>
      <c r="D159" s="124" t="s">
        <v>403</v>
      </c>
      <c r="E159" s="192">
        <v>971</v>
      </c>
      <c r="F159" s="125">
        <f>ROUND(E159*Valores!$C$2,2)</f>
        <v>75346.399999999994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46189.93</v>
      </c>
      <c r="N159" s="125">
        <f t="shared" si="21"/>
        <v>0</v>
      </c>
      <c r="O159" s="125">
        <f>Valores!$C$16</f>
        <v>67049.36</v>
      </c>
      <c r="P159" s="125">
        <f>Valores!$D$5</f>
        <v>39667.43</v>
      </c>
      <c r="Q159" s="125">
        <f>Valores!$C$23</f>
        <v>32936.269999999997</v>
      </c>
      <c r="R159" s="125">
        <f>IF($F$4="NO",Valores!$C$48,Valores!$C$48/2)</f>
        <v>41465.839999999997</v>
      </c>
      <c r="S159" s="125">
        <f>Valores!$C$19</f>
        <v>36908.81</v>
      </c>
      <c r="T159" s="125">
        <f t="shared" si="28"/>
        <v>36908.81</v>
      </c>
      <c r="U159" s="125">
        <v>0</v>
      </c>
      <c r="V159" s="125">
        <v>0</v>
      </c>
      <c r="W159" s="192">
        <v>400</v>
      </c>
      <c r="X159" s="125">
        <f>ROUND(W159*Valores!$C$2,2)</f>
        <v>31038.68</v>
      </c>
      <c r="Y159" s="125">
        <f>ROUND(SUM(J159,H159,F159,R159)*Valores!$C$3,2)</f>
        <v>17521.84</v>
      </c>
      <c r="Z159" s="125">
        <f>Valores!$C$96</f>
        <v>54315.88</v>
      </c>
      <c r="AA159" s="125">
        <f>Valores!$C$25</f>
        <v>1622.32</v>
      </c>
      <c r="AB159" s="214">
        <v>0</v>
      </c>
      <c r="AC159" s="125">
        <f t="shared" si="22"/>
        <v>0</v>
      </c>
      <c r="AD159" s="125">
        <f>Valores!$C$25</f>
        <v>1622.32</v>
      </c>
      <c r="AE159" s="192">
        <v>94</v>
      </c>
      <c r="AF159" s="125">
        <f>ROUND(AE159*Valores!$C$2,2)</f>
        <v>7294.09</v>
      </c>
      <c r="AG159" s="125">
        <f>ROUND(IF($F$4="NO",Valores!$C$64,Valores!$C$64/2),2)</f>
        <v>18547.32</v>
      </c>
      <c r="AH159" s="125">
        <f>SUM(F159,H159,J159,L159,M159,N159,O159,P159,Q159,R159,T159,U159,V159,X159,Y159,Z159,AA159,AC159,AD159,AF159,AG159)*Valores!$C$104</f>
        <v>47152.649000000005</v>
      </c>
      <c r="AI159" s="125">
        <f t="shared" si="25"/>
        <v>518679.13900000008</v>
      </c>
      <c r="AJ159" s="125">
        <f>Valores!$C$31</f>
        <v>35000</v>
      </c>
      <c r="AK159" s="125">
        <v>0</v>
      </c>
      <c r="AL159" s="125">
        <f>Valores!$C$89</f>
        <v>0</v>
      </c>
      <c r="AM159" s="125">
        <f>Valores!C$39*B159</f>
        <v>0</v>
      </c>
      <c r="AN159" s="125">
        <f>(IF($F$3="NO",0,Valores!$C$59))</f>
        <v>0</v>
      </c>
      <c r="AO159" s="125">
        <f t="shared" si="23"/>
        <v>35000</v>
      </c>
      <c r="AP159" s="125">
        <f>AI159*Valores!$C$72</f>
        <v>-57054.705290000013</v>
      </c>
      <c r="AQ159" s="125">
        <f>IF(AI159&lt;Valores!$E$73,-0.02,IF(AI159&lt;Valores!$F$73,-0.03,-0.04))*AI159</f>
        <v>-10373.582780000002</v>
      </c>
      <c r="AR159" s="125">
        <f>AI159*Valores!$C$75</f>
        <v>-28527.352645000006</v>
      </c>
      <c r="AS159" s="125">
        <f>Valores!$C$102</f>
        <v>-1270.1600000000001</v>
      </c>
      <c r="AT159" s="125">
        <f>IF($F$5=0,Valores!$C$103,(Valores!$C$103+$F$5*(Valores!$C$103)))</f>
        <v>-3700</v>
      </c>
      <c r="AU159" s="125">
        <f t="shared" si="26"/>
        <v>452753.33828500006</v>
      </c>
      <c r="AV159" s="125">
        <f t="shared" si="20"/>
        <v>-57054.705290000013</v>
      </c>
      <c r="AW159" s="125">
        <f t="shared" si="27"/>
        <v>-10373.582780000002</v>
      </c>
      <c r="AX159" s="125">
        <f>AI159*Valores!$C$76</f>
        <v>-14004.336753000001</v>
      </c>
      <c r="AY159" s="125">
        <f>AI159*Valores!$C$77</f>
        <v>-1556.0374170000002</v>
      </c>
      <c r="AZ159" s="125">
        <f t="shared" si="24"/>
        <v>470690.47676000011</v>
      </c>
      <c r="BA159" s="125">
        <f>AI159*Valores!$C$79</f>
        <v>82988.66224000002</v>
      </c>
      <c r="BB159" s="125">
        <f>AI159*Valores!$C$80</f>
        <v>36307.539730000011</v>
      </c>
      <c r="BC159" s="125">
        <f>AI159*Valores!$C$81</f>
        <v>5186.7913900000012</v>
      </c>
      <c r="BD159" s="125">
        <f>AI159*Valores!$C$83</f>
        <v>18153.769865000006</v>
      </c>
      <c r="BE159" s="125">
        <f>AI159*Valores!$C$85</f>
        <v>28008.673506000003</v>
      </c>
      <c r="BF159" s="125">
        <f>AI159*Valores!$C$84</f>
        <v>3112.0748340000005</v>
      </c>
      <c r="BG159" s="126">
        <v>12</v>
      </c>
      <c r="BH159" s="126">
        <v>18</v>
      </c>
      <c r="BI159" s="123" t="s">
        <v>4</v>
      </c>
    </row>
    <row r="160" spans="1:61" s="110" customFormat="1" ht="11.25" customHeight="1" x14ac:dyDescent="0.15">
      <c r="A160" s="123" t="s">
        <v>404</v>
      </c>
      <c r="B160" s="123">
        <v>1</v>
      </c>
      <c r="C160" s="126">
        <v>153</v>
      </c>
      <c r="D160" s="124" t="s">
        <v>405</v>
      </c>
      <c r="E160" s="192">
        <v>810</v>
      </c>
      <c r="F160" s="125">
        <f>ROUND(E160*Valores!$C$2,2)</f>
        <v>62853.33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31346.77</v>
      </c>
      <c r="N160" s="125">
        <f t="shared" si="21"/>
        <v>0</v>
      </c>
      <c r="O160" s="125">
        <f>Valores!$C$16</f>
        <v>67049.36</v>
      </c>
      <c r="P160" s="125">
        <f>Valores!$D$5</f>
        <v>39667.43</v>
      </c>
      <c r="Q160" s="125">
        <f>Valores!$C$23</f>
        <v>32936.269999999997</v>
      </c>
      <c r="R160" s="125">
        <f>IF($F$4="NO",Valores!$C$44,Valores!$C$44/2)</f>
        <v>26002.29</v>
      </c>
      <c r="S160" s="125">
        <f>Valores!$C$20</f>
        <v>36531.46</v>
      </c>
      <c r="T160" s="125">
        <f t="shared" si="28"/>
        <v>36531.46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Valores!$C$96</f>
        <v>54315.88</v>
      </c>
      <c r="AA160" s="125">
        <f>Valores!$C$25</f>
        <v>1622.32</v>
      </c>
      <c r="AB160" s="214">
        <v>0</v>
      </c>
      <c r="AC160" s="125">
        <f t="shared" si="22"/>
        <v>0</v>
      </c>
      <c r="AD160" s="125">
        <f>Valores!$C$26</f>
        <v>1622.32</v>
      </c>
      <c r="AE160" s="192">
        <v>0</v>
      </c>
      <c r="AF160" s="125">
        <f>ROUND(AE160*Valores!$C$2,2)</f>
        <v>0</v>
      </c>
      <c r="AG160" s="125">
        <f>ROUND(IF($F$4="NO",Valores!$C$64,Valores!$C$64/2),2)</f>
        <v>18547.32</v>
      </c>
      <c r="AH160" s="125">
        <f>SUM(F160,H160,J160,L160,M160,N160,O160,P160,Q160,R160,T160,U160,V160,X160,Y160,Z160,AA160,AC160,AD160,AF160,AG160)*Valores!$C$104</f>
        <v>37249.475000000006</v>
      </c>
      <c r="AI160" s="125">
        <f t="shared" si="25"/>
        <v>409744.22500000009</v>
      </c>
      <c r="AJ160" s="125">
        <f>Valores!$C$31</f>
        <v>35000</v>
      </c>
      <c r="AK160" s="125">
        <v>0</v>
      </c>
      <c r="AL160" s="125">
        <f>Valores!$C$89</f>
        <v>0</v>
      </c>
      <c r="AM160" s="125">
        <f>Valores!C$39*B160</f>
        <v>0</v>
      </c>
      <c r="AN160" s="125">
        <f>IF($F$3="NO",0,Valores!$C$57)</f>
        <v>0</v>
      </c>
      <c r="AO160" s="125">
        <f t="shared" si="23"/>
        <v>35000</v>
      </c>
      <c r="AP160" s="125">
        <f>AI160*Valores!$C$72</f>
        <v>-45071.864750000008</v>
      </c>
      <c r="AQ160" s="125">
        <f>IF(AI160&lt;Valores!$E$73,-0.02,IF(AI160&lt;Valores!$F$73,-0.03,-0.04))*AI160</f>
        <v>-8194.8845000000019</v>
      </c>
      <c r="AR160" s="125">
        <f>AI160*Valores!$C$75</f>
        <v>-22535.932375000004</v>
      </c>
      <c r="AS160" s="125">
        <f>Valores!$C$102</f>
        <v>-1270.1600000000001</v>
      </c>
      <c r="AT160" s="125">
        <f>IF($F$5=0,Valores!$C$103,(Valores!$C$103+$F$5*(Valores!$C$103)))</f>
        <v>-3700</v>
      </c>
      <c r="AU160" s="125">
        <f t="shared" si="26"/>
        <v>363971.38337500009</v>
      </c>
      <c r="AV160" s="125">
        <f t="shared" si="20"/>
        <v>-45071.864750000008</v>
      </c>
      <c r="AW160" s="125">
        <f t="shared" si="27"/>
        <v>-8194.8845000000019</v>
      </c>
      <c r="AX160" s="125">
        <f>AI160*Valores!$C$76</f>
        <v>-11063.094075000003</v>
      </c>
      <c r="AY160" s="125">
        <f>AI160*Valores!$C$77</f>
        <v>-1229.2326750000002</v>
      </c>
      <c r="AZ160" s="125">
        <f t="shared" si="24"/>
        <v>379185.14900000009</v>
      </c>
      <c r="BA160" s="125">
        <f>AI160*Valores!$C$79</f>
        <v>65559.076000000015</v>
      </c>
      <c r="BB160" s="125">
        <f>AI160*Valores!$C$80</f>
        <v>28682.095750000008</v>
      </c>
      <c r="BC160" s="125">
        <f>AI160*Valores!$C$81</f>
        <v>4097.442250000001</v>
      </c>
      <c r="BD160" s="125">
        <f>AI160*Valores!$C$83</f>
        <v>14341.047875000004</v>
      </c>
      <c r="BE160" s="125">
        <f>AI160*Valores!$C$85</f>
        <v>22126.188150000005</v>
      </c>
      <c r="BF160" s="125">
        <f>AI160*Valores!$C$84</f>
        <v>2458.4653500000004</v>
      </c>
      <c r="BG160" s="126"/>
      <c r="BH160" s="126"/>
      <c r="BI160" s="123" t="s">
        <v>4</v>
      </c>
    </row>
    <row r="161" spans="1:61" s="110" customFormat="1" ht="11.25" customHeight="1" x14ac:dyDescent="0.15">
      <c r="A161" s="123" t="s">
        <v>406</v>
      </c>
      <c r="B161" s="123">
        <v>1</v>
      </c>
      <c r="C161" s="126">
        <v>154</v>
      </c>
      <c r="D161" s="124" t="s">
        <v>407</v>
      </c>
      <c r="E161" s="192">
        <v>1065</v>
      </c>
      <c r="F161" s="125">
        <f>ROUND(E161*Valores!$C$2,2)</f>
        <v>82640.490000000005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36387.9</v>
      </c>
      <c r="N161" s="125">
        <f t="shared" si="21"/>
        <v>0</v>
      </c>
      <c r="O161" s="125">
        <f>Valores!$C$16</f>
        <v>67049.36</v>
      </c>
      <c r="P161" s="125">
        <f>Valores!$D$5</f>
        <v>39667.43</v>
      </c>
      <c r="Q161" s="125">
        <f>Valores!$C$23</f>
        <v>32936.269999999997</v>
      </c>
      <c r="R161" s="125">
        <f>IF($F$4="NO",Valores!$C$44,Valores!$C$44/2)</f>
        <v>26002.29</v>
      </c>
      <c r="S161" s="125">
        <f>Valores!$C$19</f>
        <v>36908.81</v>
      </c>
      <c r="T161" s="125">
        <f t="shared" si="28"/>
        <v>36908.81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Valores!$C$96</f>
        <v>54315.88</v>
      </c>
      <c r="AA161" s="125">
        <f>Valores!$C$25</f>
        <v>1622.32</v>
      </c>
      <c r="AB161" s="214">
        <v>0</v>
      </c>
      <c r="AC161" s="125">
        <f t="shared" si="22"/>
        <v>0</v>
      </c>
      <c r="AD161" s="125">
        <f>Valores!$C$26</f>
        <v>1622.32</v>
      </c>
      <c r="AE161" s="192">
        <v>0</v>
      </c>
      <c r="AF161" s="125">
        <f>ROUND(AE161*Valores!$C$2,2)</f>
        <v>0</v>
      </c>
      <c r="AG161" s="125">
        <f>ROUND(IF($F$4="NO",Valores!$C$64,Valores!$C$64/2),2)</f>
        <v>18547.32</v>
      </c>
      <c r="AH161" s="125">
        <f>SUM(F161,H161,J161,L161,M161,N161,O161,P161,Q161,R161,T161,U161,V161,X161,Y161,Z161,AA161,AC161,AD161,AF161,AG161)*Valores!$C$104</f>
        <v>39770.039000000004</v>
      </c>
      <c r="AI161" s="125">
        <f t="shared" si="25"/>
        <v>437470.429</v>
      </c>
      <c r="AJ161" s="125">
        <f>Valores!$C$31</f>
        <v>35000</v>
      </c>
      <c r="AK161" s="125">
        <v>0</v>
      </c>
      <c r="AL161" s="125">
        <f>Valores!$C$89</f>
        <v>0</v>
      </c>
      <c r="AM161" s="125">
        <f>Valores!C$39*B161</f>
        <v>0</v>
      </c>
      <c r="AN161" s="125">
        <f>IF($F$3="NO",0,Valores!$C$57)</f>
        <v>0</v>
      </c>
      <c r="AO161" s="125">
        <f t="shared" si="23"/>
        <v>35000</v>
      </c>
      <c r="AP161" s="125">
        <f>AI161*Valores!$C$72</f>
        <v>-48121.747190000002</v>
      </c>
      <c r="AQ161" s="125">
        <f>IF(AI161&lt;Valores!$E$73,-0.02,IF(AI161&lt;Valores!$F$73,-0.03,-0.04))*AI161</f>
        <v>-8749.4085799999993</v>
      </c>
      <c r="AR161" s="125">
        <f>AI161*Valores!$C$75</f>
        <v>-24060.873595000001</v>
      </c>
      <c r="AS161" s="125">
        <f>Valores!$C$102</f>
        <v>-1270.1600000000001</v>
      </c>
      <c r="AT161" s="125">
        <f>IF($F$5=0,Valores!$C$103,(Valores!$C$103+$F$5*(Valores!$C$103)))</f>
        <v>-3700</v>
      </c>
      <c r="AU161" s="125">
        <f t="shared" si="26"/>
        <v>386568.23963500001</v>
      </c>
      <c r="AV161" s="125">
        <f t="shared" si="20"/>
        <v>-48121.747190000002</v>
      </c>
      <c r="AW161" s="125">
        <f t="shared" si="27"/>
        <v>-8749.4085799999993</v>
      </c>
      <c r="AX161" s="125">
        <f>AI161*Valores!$C$76</f>
        <v>-11811.701583</v>
      </c>
      <c r="AY161" s="125">
        <f>AI161*Valores!$C$77</f>
        <v>-1312.4112870000001</v>
      </c>
      <c r="AZ161" s="125">
        <f t="shared" si="24"/>
        <v>402475.16035999998</v>
      </c>
      <c r="BA161" s="125">
        <f>AI161*Valores!$C$79</f>
        <v>69995.268639999995</v>
      </c>
      <c r="BB161" s="125">
        <f>AI161*Valores!$C$80</f>
        <v>30622.930030000003</v>
      </c>
      <c r="BC161" s="125">
        <f>AI161*Valores!$C$81</f>
        <v>4374.7042899999997</v>
      </c>
      <c r="BD161" s="125">
        <f>AI161*Valores!$C$83</f>
        <v>15311.465015000002</v>
      </c>
      <c r="BE161" s="125">
        <f>AI161*Valores!$C$85</f>
        <v>23623.403166</v>
      </c>
      <c r="BF161" s="125">
        <f>AI161*Valores!$C$84</f>
        <v>2624.8225740000003</v>
      </c>
      <c r="BG161" s="126"/>
      <c r="BH161" s="126">
        <v>27</v>
      </c>
      <c r="BI161" s="123" t="s">
        <v>4</v>
      </c>
    </row>
    <row r="162" spans="1:61" s="110" customFormat="1" ht="11.25" customHeight="1" x14ac:dyDescent="0.15">
      <c r="A162" s="123" t="s">
        <v>406</v>
      </c>
      <c r="B162" s="123">
        <v>1</v>
      </c>
      <c r="C162" s="126">
        <v>155</v>
      </c>
      <c r="D162" s="124" t="s">
        <v>408</v>
      </c>
      <c r="E162" s="192">
        <v>1065</v>
      </c>
      <c r="F162" s="125">
        <f>ROUND(E162*Valores!$C$2,2)</f>
        <v>82640.490000000005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36387.9</v>
      </c>
      <c r="N162" s="125">
        <f t="shared" si="21"/>
        <v>0</v>
      </c>
      <c r="O162" s="125">
        <f>Valores!$C$16</f>
        <v>67049.36</v>
      </c>
      <c r="P162" s="125">
        <f>Valores!$D$5</f>
        <v>39667.43</v>
      </c>
      <c r="Q162" s="125">
        <f>Valores!$C$23</f>
        <v>32936.269999999997</v>
      </c>
      <c r="R162" s="125">
        <f>IF($F$4="NO",Valores!$C$44,Valores!$C$44/2)</f>
        <v>26002.29</v>
      </c>
      <c r="S162" s="125">
        <f>Valores!$C$19</f>
        <v>36908.81</v>
      </c>
      <c r="T162" s="125">
        <f t="shared" si="28"/>
        <v>36908.81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Valores!$C$96</f>
        <v>54315.88</v>
      </c>
      <c r="AA162" s="125">
        <f>Valores!$C$25</f>
        <v>1622.32</v>
      </c>
      <c r="AB162" s="214">
        <v>0</v>
      </c>
      <c r="AC162" s="125">
        <f t="shared" si="22"/>
        <v>0</v>
      </c>
      <c r="AD162" s="125">
        <f>Valores!$C$26</f>
        <v>1622.32</v>
      </c>
      <c r="AE162" s="192">
        <v>94</v>
      </c>
      <c r="AF162" s="125">
        <f>ROUND(AE162*Valores!$C$2,2)</f>
        <v>7294.09</v>
      </c>
      <c r="AG162" s="125">
        <f>ROUND(IF($F$4="NO",Valores!$C$64,Valores!$C$64/2),2)</f>
        <v>18547.32</v>
      </c>
      <c r="AH162" s="125">
        <f>SUM(F162,H162,J162,L162,M162,N162,O162,P162,Q162,R162,T162,U162,V162,X162,Y162,Z162,AA162,AC162,AD162,AF162,AG162)*Valores!$C$104</f>
        <v>40499.448000000004</v>
      </c>
      <c r="AI162" s="125">
        <f t="shared" si="25"/>
        <v>445493.92800000007</v>
      </c>
      <c r="AJ162" s="125">
        <f>Valores!$C$31</f>
        <v>35000</v>
      </c>
      <c r="AK162" s="125">
        <v>0</v>
      </c>
      <c r="AL162" s="125">
        <f>Valores!$C$89</f>
        <v>0</v>
      </c>
      <c r="AM162" s="125">
        <f>Valores!C$39*B162</f>
        <v>0</v>
      </c>
      <c r="AN162" s="125">
        <f>IF($F$3="NO",0,Valores!$C$57)</f>
        <v>0</v>
      </c>
      <c r="AO162" s="125">
        <f t="shared" si="23"/>
        <v>35000</v>
      </c>
      <c r="AP162" s="125">
        <f>AI162*Valores!$C$72</f>
        <v>-49004.332080000007</v>
      </c>
      <c r="AQ162" s="125">
        <f>IF(AI162&lt;Valores!$E$73,-0.02,IF(AI162&lt;Valores!$F$73,-0.03,-0.04))*AI162</f>
        <v>-8909.878560000001</v>
      </c>
      <c r="AR162" s="125">
        <f>AI162*Valores!$C$75</f>
        <v>-24502.166040000004</v>
      </c>
      <c r="AS162" s="125">
        <f>Valores!$C$102</f>
        <v>-1270.1600000000001</v>
      </c>
      <c r="AT162" s="125">
        <f>IF($F$5=0,Valores!$C$103,(Valores!$C$103+$F$5*(Valores!$C$103)))</f>
        <v>-3700</v>
      </c>
      <c r="AU162" s="125">
        <f t="shared" si="26"/>
        <v>393107.39132000005</v>
      </c>
      <c r="AV162" s="125">
        <f t="shared" si="20"/>
        <v>-49004.332080000007</v>
      </c>
      <c r="AW162" s="125">
        <f t="shared" si="27"/>
        <v>-8909.878560000001</v>
      </c>
      <c r="AX162" s="125">
        <f>AI162*Valores!$C$76</f>
        <v>-12028.336056000002</v>
      </c>
      <c r="AY162" s="125">
        <f>AI162*Valores!$C$77</f>
        <v>-1336.4817840000003</v>
      </c>
      <c r="AZ162" s="125">
        <f t="shared" si="24"/>
        <v>409214.89952000009</v>
      </c>
      <c r="BA162" s="125">
        <f>AI162*Valores!$C$79</f>
        <v>71279.028480000008</v>
      </c>
      <c r="BB162" s="125">
        <f>AI162*Valores!$C$80</f>
        <v>31184.574960000009</v>
      </c>
      <c r="BC162" s="125">
        <f>AI162*Valores!$C$81</f>
        <v>4454.9392800000005</v>
      </c>
      <c r="BD162" s="125">
        <f>AI162*Valores!$C$83</f>
        <v>15592.287480000005</v>
      </c>
      <c r="BE162" s="125">
        <f>AI162*Valores!$C$85</f>
        <v>24056.672112000004</v>
      </c>
      <c r="BF162" s="125">
        <f>AI162*Valores!$C$84</f>
        <v>2672.9635680000006</v>
      </c>
      <c r="BG162" s="126"/>
      <c r="BH162" s="126">
        <v>27</v>
      </c>
      <c r="BI162" s="123" t="s">
        <v>4</v>
      </c>
    </row>
    <row r="163" spans="1:61" s="110" customFormat="1" ht="11.25" customHeight="1" x14ac:dyDescent="0.15">
      <c r="A163" s="123" t="s">
        <v>409</v>
      </c>
      <c r="B163" s="123">
        <v>1</v>
      </c>
      <c r="C163" s="126">
        <v>156</v>
      </c>
      <c r="D163" s="124" t="s">
        <v>410</v>
      </c>
      <c r="E163" s="192">
        <v>98</v>
      </c>
      <c r="F163" s="125">
        <f>ROUND(E163*Valores!$C$2,2)</f>
        <v>7604.48</v>
      </c>
      <c r="G163" s="192">
        <v>2686</v>
      </c>
      <c r="H163" s="125">
        <f>ROUND(G163*Valores!$C$2,2)</f>
        <v>208424.74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87180.39</v>
      </c>
      <c r="N163" s="125">
        <f t="shared" si="21"/>
        <v>0</v>
      </c>
      <c r="O163" s="125">
        <f>Valores!$C$8</f>
        <v>97252.17</v>
      </c>
      <c r="P163" s="125">
        <f>Valores!$D$5</f>
        <v>39667.43</v>
      </c>
      <c r="Q163" s="125">
        <f>Valores!$C$22</f>
        <v>35387.42</v>
      </c>
      <c r="R163" s="125">
        <f>IF($F$4="NO",Valores!$C$48,Valores!$C$48/2)</f>
        <v>41465.839999999997</v>
      </c>
      <c r="S163" s="125">
        <f>Valores!$C$19</f>
        <v>36908.81</v>
      </c>
      <c r="T163" s="125">
        <f t="shared" si="28"/>
        <v>36908.81</v>
      </c>
      <c r="U163" s="125">
        <v>0</v>
      </c>
      <c r="V163" s="125">
        <v>0</v>
      </c>
      <c r="W163" s="192">
        <v>700</v>
      </c>
      <c r="X163" s="125">
        <f>ROUND(W163*Valores!$C$2,2)</f>
        <v>54317.69</v>
      </c>
      <c r="Y163" s="125">
        <f>ROUND(SUM(J163,H163,F163,R163)*Valores!$C$3,2)</f>
        <v>38624.26</v>
      </c>
      <c r="Z163" s="125">
        <f>Valores!$C$98</f>
        <v>108631.74</v>
      </c>
      <c r="AA163" s="125">
        <f>Valores!$C$25</f>
        <v>1622.32</v>
      </c>
      <c r="AB163" s="214">
        <v>0</v>
      </c>
      <c r="AC163" s="125">
        <f t="shared" si="22"/>
        <v>0</v>
      </c>
      <c r="AD163" s="125">
        <f>Valores!$C$26</f>
        <v>1622.32</v>
      </c>
      <c r="AE163" s="192">
        <v>94</v>
      </c>
      <c r="AF163" s="125">
        <f>ROUND(AE163*Valores!$C$2,2)</f>
        <v>7294.09</v>
      </c>
      <c r="AG163" s="125">
        <f>ROUND(IF($F$4="NO",Valores!$C$64,Valores!$C$64/2),2)</f>
        <v>18547.32</v>
      </c>
      <c r="AH163" s="125">
        <f>SUM(F163,H163,J163,L163,M163,N163,O163,P163,Q163,R163,T163,U163,V163,X163,Y163,Z163,AA163,AC163,AD163,AF163,AG163)*Valores!$C$104</f>
        <v>78455.101999999984</v>
      </c>
      <c r="AI163" s="125">
        <f t="shared" si="25"/>
        <v>863006.12199999974</v>
      </c>
      <c r="AJ163" s="125">
        <f>Valores!$C$32</f>
        <v>70000</v>
      </c>
      <c r="AK163" s="125">
        <v>0</v>
      </c>
      <c r="AL163" s="125">
        <f>Valores!$C$91</f>
        <v>0</v>
      </c>
      <c r="AM163" s="125">
        <f>Valores!C$39*B163</f>
        <v>0</v>
      </c>
      <c r="AN163" s="125">
        <f>IF($F$3="NO",0,224.5)</f>
        <v>0</v>
      </c>
      <c r="AO163" s="125">
        <f t="shared" si="23"/>
        <v>70000</v>
      </c>
      <c r="AP163" s="125">
        <f>AI163*Valores!$C$72</f>
        <v>-94930.673419999977</v>
      </c>
      <c r="AQ163" s="125">
        <f>IF(AI163&lt;Valores!$E$73,-0.02,IF(AI163&lt;Valores!$F$73,-0.03,-0.04))*AI163</f>
        <v>-25890.183659999992</v>
      </c>
      <c r="AR163" s="125">
        <f>AI163*Valores!$C$75</f>
        <v>-47465.336709999989</v>
      </c>
      <c r="AS163" s="125">
        <f>Valores!$C$102</f>
        <v>-1270.1600000000001</v>
      </c>
      <c r="AT163" s="125">
        <f>IF($F$5=0,Valores!$C$103,(Valores!$C$103+$F$5*(Valores!$C$103)))</f>
        <v>-3700</v>
      </c>
      <c r="AU163" s="125">
        <f t="shared" si="26"/>
        <v>759749.76820999978</v>
      </c>
      <c r="AV163" s="125">
        <f t="shared" si="20"/>
        <v>-94930.673419999977</v>
      </c>
      <c r="AW163" s="125">
        <f t="shared" si="27"/>
        <v>-25890.183659999992</v>
      </c>
      <c r="AX163" s="125">
        <f>AI163*Valores!$C$76</f>
        <v>-23301.165293999991</v>
      </c>
      <c r="AY163" s="125">
        <f>AI163*Valores!$C$77</f>
        <v>-2589.0183659999993</v>
      </c>
      <c r="AZ163" s="125">
        <f t="shared" si="24"/>
        <v>786295.08125999977</v>
      </c>
      <c r="BA163" s="125">
        <f>AI163*Valores!$C$79</f>
        <v>138080.97951999996</v>
      </c>
      <c r="BB163" s="125">
        <f>AI163*Valores!$C$80</f>
        <v>60410.428539999986</v>
      </c>
      <c r="BC163" s="125">
        <f>AI163*Valores!$C$81</f>
        <v>8630.0612199999978</v>
      </c>
      <c r="BD163" s="125">
        <f>AI163*Valores!$C$83</f>
        <v>30205.214269999993</v>
      </c>
      <c r="BE163" s="125">
        <f>AI163*Valores!$C$85</f>
        <v>46602.330587999983</v>
      </c>
      <c r="BF163" s="125">
        <f>AI163*Valores!$C$84</f>
        <v>5178.0367319999987</v>
      </c>
      <c r="BG163" s="126"/>
      <c r="BH163" s="126">
        <v>45</v>
      </c>
      <c r="BI163" s="123" t="s">
        <v>4</v>
      </c>
    </row>
    <row r="164" spans="1:61" s="110" customFormat="1" ht="11.25" customHeight="1" x14ac:dyDescent="0.15">
      <c r="A164" s="123" t="s">
        <v>411</v>
      </c>
      <c r="B164" s="123">
        <v>1</v>
      </c>
      <c r="C164" s="126">
        <v>157</v>
      </c>
      <c r="D164" s="124" t="s">
        <v>412</v>
      </c>
      <c r="E164" s="192">
        <v>93</v>
      </c>
      <c r="F164" s="125">
        <f>ROUND(E164*Valores!$C$2,2)</f>
        <v>7216.49</v>
      </c>
      <c r="G164" s="192">
        <v>2547</v>
      </c>
      <c r="H164" s="125">
        <f>ROUND(G164*Valores!$C$2,2)</f>
        <v>197638.79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84386.91</v>
      </c>
      <c r="N164" s="125">
        <f t="shared" si="21"/>
        <v>0</v>
      </c>
      <c r="O164" s="125">
        <f>Valores!$C$16</f>
        <v>67049.36</v>
      </c>
      <c r="P164" s="125">
        <f>Valores!$D$5</f>
        <v>39667.43</v>
      </c>
      <c r="Q164" s="125">
        <f>Valores!$C$22</f>
        <v>35387.42</v>
      </c>
      <c r="R164" s="125">
        <f>IF($F$4="NO",Valores!$C$48,Valores!$C$48/2)</f>
        <v>41465.839999999997</v>
      </c>
      <c r="S164" s="125">
        <f>Valores!$C$19</f>
        <v>36908.81</v>
      </c>
      <c r="T164" s="125">
        <f t="shared" si="28"/>
        <v>36908.81</v>
      </c>
      <c r="U164" s="125">
        <v>0</v>
      </c>
      <c r="V164" s="125">
        <v>0</v>
      </c>
      <c r="W164" s="192">
        <v>700</v>
      </c>
      <c r="X164" s="125">
        <f>ROUND(W164*Valores!$C$2,2)</f>
        <v>54317.69</v>
      </c>
      <c r="Y164" s="125">
        <f>ROUND(SUM(J164,H164,F164,R164)*Valores!$C$3,2)</f>
        <v>36948.17</v>
      </c>
      <c r="Z164" s="125">
        <f>Valores!$C$98</f>
        <v>108631.74</v>
      </c>
      <c r="AA164" s="125">
        <f>Valores!$C$25</f>
        <v>1622.32</v>
      </c>
      <c r="AB164" s="214">
        <v>0</v>
      </c>
      <c r="AC164" s="125">
        <f t="shared" si="22"/>
        <v>0</v>
      </c>
      <c r="AD164" s="125">
        <f>Valores!$C$26</f>
        <v>1622.32</v>
      </c>
      <c r="AE164" s="192">
        <v>94</v>
      </c>
      <c r="AF164" s="125">
        <f>ROUND(AE164*Valores!$C$2,2)</f>
        <v>7294.09</v>
      </c>
      <c r="AG164" s="125">
        <f>ROUND(IF($F$4="NO",Valores!$C$64,Valores!$C$64/2),2)</f>
        <v>18547.32</v>
      </c>
      <c r="AH164" s="125">
        <f>SUM(F164,H164,J164,L164,M164,N164,O164,P164,Q164,R164,T164,U164,V164,X164,Y164,Z164,AA164,AC164,AD164,AF164,AG164)*Valores!$C$104</f>
        <v>73870.469999999987</v>
      </c>
      <c r="AI164" s="125">
        <f t="shared" si="25"/>
        <v>812575.16999999981</v>
      </c>
      <c r="AJ164" s="125">
        <f>Valores!$C$32</f>
        <v>70000</v>
      </c>
      <c r="AK164" s="125">
        <v>0</v>
      </c>
      <c r="AL164" s="125">
        <f>Valores!$C$91</f>
        <v>0</v>
      </c>
      <c r="AM164" s="125">
        <f>Valores!C$39*B164</f>
        <v>0</v>
      </c>
      <c r="AN164" s="125">
        <f>IF($F$3="NO",0,224.5)</f>
        <v>0</v>
      </c>
      <c r="AO164" s="125">
        <f t="shared" si="23"/>
        <v>70000</v>
      </c>
      <c r="AP164" s="125">
        <f>AI164*Valores!$C$72</f>
        <v>-89383.268699999986</v>
      </c>
      <c r="AQ164" s="125">
        <f>IF(AI164&lt;Valores!$E$73,-0.02,IF(AI164&lt;Valores!$F$73,-0.03,-0.04))*AI164</f>
        <v>-24377.255099999995</v>
      </c>
      <c r="AR164" s="125">
        <f>AI164*Valores!$C$75</f>
        <v>-44691.634349999993</v>
      </c>
      <c r="AS164" s="125">
        <f>Valores!$C$102</f>
        <v>-1270.1600000000001</v>
      </c>
      <c r="AT164" s="125">
        <f>IF($F$5=0,Valores!$C$103,(Valores!$C$103+$F$5*(Valores!$C$103)))</f>
        <v>-3700</v>
      </c>
      <c r="AU164" s="125">
        <f t="shared" si="26"/>
        <v>719152.85184999986</v>
      </c>
      <c r="AV164" s="125">
        <f t="shared" si="20"/>
        <v>-89383.268699999986</v>
      </c>
      <c r="AW164" s="125">
        <f t="shared" si="27"/>
        <v>-24377.255099999995</v>
      </c>
      <c r="AX164" s="125">
        <f>AI164*Valores!$C$76</f>
        <v>-21939.529589999995</v>
      </c>
      <c r="AY164" s="125">
        <f>AI164*Valores!$C$77</f>
        <v>-2437.7255099999993</v>
      </c>
      <c r="AZ164" s="125">
        <f t="shared" si="24"/>
        <v>744437.39109999989</v>
      </c>
      <c r="BA164" s="125">
        <f>AI164*Valores!$C$79</f>
        <v>130012.02719999997</v>
      </c>
      <c r="BB164" s="125">
        <f>AI164*Valores!$C$80</f>
        <v>56880.26189999999</v>
      </c>
      <c r="BC164" s="125">
        <f>AI164*Valores!$C$81</f>
        <v>8125.751699999998</v>
      </c>
      <c r="BD164" s="125">
        <f>AI164*Valores!$C$83</f>
        <v>28440.130949999995</v>
      </c>
      <c r="BE164" s="125">
        <f>AI164*Valores!$C$85</f>
        <v>43879.059179999989</v>
      </c>
      <c r="BF164" s="125">
        <f>AI164*Valores!$C$84</f>
        <v>4875.4510199999986</v>
      </c>
      <c r="BG164" s="126"/>
      <c r="BH164" s="126">
        <v>45</v>
      </c>
      <c r="BI164" s="123" t="s">
        <v>4</v>
      </c>
    </row>
    <row r="165" spans="1:61" s="110" customFormat="1" ht="11.25" customHeight="1" x14ac:dyDescent="0.15">
      <c r="A165" s="123" t="s">
        <v>413</v>
      </c>
      <c r="B165" s="123">
        <v>1</v>
      </c>
      <c r="C165" s="126">
        <v>158</v>
      </c>
      <c r="D165" s="124" t="s">
        <v>414</v>
      </c>
      <c r="E165" s="192">
        <v>89</v>
      </c>
      <c r="F165" s="125">
        <f>ROUND(E165*Valores!$C$2,2)</f>
        <v>6906.11</v>
      </c>
      <c r="G165" s="192">
        <v>2251</v>
      </c>
      <c r="H165" s="125">
        <f>ROUND(G165*Valores!$C$2,2)</f>
        <v>174670.17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78567.16</v>
      </c>
      <c r="N165" s="125">
        <f t="shared" si="21"/>
        <v>0</v>
      </c>
      <c r="O165" s="125">
        <f>Valores!$C$16</f>
        <v>67049.36</v>
      </c>
      <c r="P165" s="125">
        <f>Valores!$D$5</f>
        <v>39667.43</v>
      </c>
      <c r="Q165" s="125">
        <f>Valores!$C$22</f>
        <v>35387.42</v>
      </c>
      <c r="R165" s="125">
        <f>IF($F$4="NO",Valores!$C$48,Valores!$C$48/2)</f>
        <v>41465.839999999997</v>
      </c>
      <c r="S165" s="125">
        <f>Valores!$C$19</f>
        <v>36908.81</v>
      </c>
      <c r="T165" s="125">
        <f t="shared" si="28"/>
        <v>36908.81</v>
      </c>
      <c r="U165" s="125">
        <v>0</v>
      </c>
      <c r="V165" s="125">
        <v>0</v>
      </c>
      <c r="W165" s="192">
        <v>700</v>
      </c>
      <c r="X165" s="125">
        <f>ROUND(W165*Valores!$C$2,2)</f>
        <v>54317.69</v>
      </c>
      <c r="Y165" s="125">
        <f>ROUND(SUM(J165,H165,F165,R165)*Valores!$C$3,2)</f>
        <v>33456.32</v>
      </c>
      <c r="Z165" s="125">
        <f>Valores!$C$98</f>
        <v>108631.74</v>
      </c>
      <c r="AA165" s="125">
        <f>Valores!$C$25</f>
        <v>1622.32</v>
      </c>
      <c r="AB165" s="214">
        <v>0</v>
      </c>
      <c r="AC165" s="125">
        <f t="shared" si="22"/>
        <v>0</v>
      </c>
      <c r="AD165" s="125">
        <f>Valores!$C$26</f>
        <v>1622.32</v>
      </c>
      <c r="AE165" s="192">
        <v>94</v>
      </c>
      <c r="AF165" s="125">
        <f>ROUND(AE165*Valores!$C$2,2)</f>
        <v>7294.09</v>
      </c>
      <c r="AG165" s="125">
        <f>ROUND(IF($F$4="NO",Valores!$C$64,Valores!$C$64/2),2)</f>
        <v>18547.32</v>
      </c>
      <c r="AH165" s="125">
        <f>SUM(F165,H165,J165,L165,M165,N165,O165,P165,Q165,R165,T165,U165,V165,X165,Y165,Z165,AA165,AC165,AD165,AF165,AG165)*Valores!$C$104</f>
        <v>70611.409999999974</v>
      </c>
      <c r="AI165" s="125">
        <f t="shared" si="25"/>
        <v>776725.50999999978</v>
      </c>
      <c r="AJ165" s="125">
        <f>Valores!$C$32</f>
        <v>70000</v>
      </c>
      <c r="AK165" s="125">
        <v>0</v>
      </c>
      <c r="AL165" s="125">
        <f>Valores!$C$91</f>
        <v>0</v>
      </c>
      <c r="AM165" s="125">
        <f>Valores!C$39*B165</f>
        <v>0</v>
      </c>
      <c r="AN165" s="125">
        <f>IF($F$3="NO",0,224.5)</f>
        <v>0</v>
      </c>
      <c r="AO165" s="125">
        <f t="shared" si="23"/>
        <v>70000</v>
      </c>
      <c r="AP165" s="125">
        <f>AI165*Valores!$C$72</f>
        <v>-85439.806099999973</v>
      </c>
      <c r="AQ165" s="125">
        <f>IF(AI165&lt;Valores!$E$73,-0.02,IF(AI165&lt;Valores!$F$73,-0.03,-0.04))*AI165</f>
        <v>-23301.765299999992</v>
      </c>
      <c r="AR165" s="125">
        <f>AI165*Valores!$C$75</f>
        <v>-42719.903049999986</v>
      </c>
      <c r="AS165" s="125">
        <f>Valores!$C$102</f>
        <v>-1270.1600000000001</v>
      </c>
      <c r="AT165" s="125">
        <f>IF($F$5=0,Valores!$C$103,(Valores!$C$103+$F$5*(Valores!$C$103)))</f>
        <v>-3700</v>
      </c>
      <c r="AU165" s="125">
        <f t="shared" si="26"/>
        <v>690293.87554999976</v>
      </c>
      <c r="AV165" s="125">
        <f t="shared" si="20"/>
        <v>-85439.806099999973</v>
      </c>
      <c r="AW165" s="125">
        <f t="shared" si="27"/>
        <v>-23301.765299999992</v>
      </c>
      <c r="AX165" s="125">
        <f>AI165*Valores!$C$76</f>
        <v>-20971.588769999995</v>
      </c>
      <c r="AY165" s="125">
        <f>AI165*Valores!$C$77</f>
        <v>-2330.1765299999993</v>
      </c>
      <c r="AZ165" s="125">
        <f t="shared" si="24"/>
        <v>714682.17329999979</v>
      </c>
      <c r="BA165" s="125">
        <f>AI165*Valores!$C$79</f>
        <v>124276.08159999996</v>
      </c>
      <c r="BB165" s="125">
        <f>AI165*Valores!$C$80</f>
        <v>54370.785699999993</v>
      </c>
      <c r="BC165" s="125">
        <f>AI165*Valores!$C$81</f>
        <v>7767.2550999999976</v>
      </c>
      <c r="BD165" s="125">
        <f>AI165*Valores!$C$83</f>
        <v>27185.392849999997</v>
      </c>
      <c r="BE165" s="125">
        <f>AI165*Valores!$C$85</f>
        <v>41943.17753999999</v>
      </c>
      <c r="BF165" s="125">
        <f>AI165*Valores!$C$84</f>
        <v>4660.3530599999985</v>
      </c>
      <c r="BG165" s="126"/>
      <c r="BH165" s="126">
        <v>45</v>
      </c>
      <c r="BI165" s="123" t="s">
        <v>4</v>
      </c>
    </row>
    <row r="166" spans="1:61" s="110" customFormat="1" ht="11.25" customHeight="1" x14ac:dyDescent="0.15">
      <c r="A166" s="123" t="s">
        <v>415</v>
      </c>
      <c r="B166" s="123">
        <v>1</v>
      </c>
      <c r="C166" s="126">
        <v>159</v>
      </c>
      <c r="D166" s="124" t="s">
        <v>416</v>
      </c>
      <c r="E166" s="192">
        <v>83</v>
      </c>
      <c r="F166" s="125">
        <f>ROUND(E166*Valores!$C$2,2)</f>
        <v>6440.53</v>
      </c>
      <c r="G166" s="192">
        <v>2352</v>
      </c>
      <c r="H166" s="125">
        <f>ROUND(G166*Valores!$C$2,2)</f>
        <v>182507.44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80410.080000000002</v>
      </c>
      <c r="N166" s="125">
        <f t="shared" si="21"/>
        <v>0</v>
      </c>
      <c r="O166" s="125">
        <f>Valores!$C$16</f>
        <v>67049.36</v>
      </c>
      <c r="P166" s="125">
        <f>Valores!$D$5</f>
        <v>39667.43</v>
      </c>
      <c r="Q166" s="125">
        <v>0</v>
      </c>
      <c r="R166" s="125">
        <f>IF($F$4="NO",Valores!$C$48,Valores!$C$48/2)</f>
        <v>41465.839999999997</v>
      </c>
      <c r="S166" s="125">
        <f>Valores!$C$19</f>
        <v>36908.81</v>
      </c>
      <c r="T166" s="125">
        <f t="shared" si="28"/>
        <v>36908.81</v>
      </c>
      <c r="U166" s="125">
        <v>0</v>
      </c>
      <c r="V166" s="125">
        <v>0</v>
      </c>
      <c r="W166" s="192">
        <v>700</v>
      </c>
      <c r="X166" s="125">
        <f>ROUND(W166*Valores!$C$2,2)</f>
        <v>54317.69</v>
      </c>
      <c r="Y166" s="125">
        <f>ROUND(SUM(J166,H166,F166,R166)*Valores!$C$3,2)</f>
        <v>34562.07</v>
      </c>
      <c r="Z166" s="125">
        <f>Valores!$C$98</f>
        <v>108631.74</v>
      </c>
      <c r="AA166" s="125">
        <f>Valores!$C$25</f>
        <v>1622.32</v>
      </c>
      <c r="AB166" s="214">
        <v>0</v>
      </c>
      <c r="AC166" s="125">
        <f t="shared" si="22"/>
        <v>0</v>
      </c>
      <c r="AD166" s="125">
        <f>Valores!$C$26</f>
        <v>1622.32</v>
      </c>
      <c r="AE166" s="192">
        <v>94</v>
      </c>
      <c r="AF166" s="125">
        <f>ROUND(AE166*Valores!$C$2,2)</f>
        <v>7294.09</v>
      </c>
      <c r="AG166" s="125">
        <f>ROUND(IF($F$4="NO",Valores!$C$64,Valores!$C$64/2),2)</f>
        <v>18547.32</v>
      </c>
      <c r="AH166" s="125">
        <f>SUM(F166,H166,J166,L166,M166,N166,O166,P166,Q166,R166,T166,U166,V166,X166,Y166,Z166,AA166,AC166,AD166,AF166,AG166)*Valores!$C$104</f>
        <v>68104.703999999969</v>
      </c>
      <c r="AI166" s="125">
        <f t="shared" si="25"/>
        <v>749151.74399999972</v>
      </c>
      <c r="AJ166" s="125">
        <f>Valores!$C$32</f>
        <v>70000</v>
      </c>
      <c r="AK166" s="125">
        <v>0</v>
      </c>
      <c r="AL166" s="125">
        <f>Valores!$C$91</f>
        <v>0</v>
      </c>
      <c r="AM166" s="125">
        <f>Valores!C$39*B166</f>
        <v>0</v>
      </c>
      <c r="AN166" s="125">
        <v>0</v>
      </c>
      <c r="AO166" s="125">
        <f t="shared" si="23"/>
        <v>70000</v>
      </c>
      <c r="AP166" s="125">
        <f>AI166*Valores!$C$72</f>
        <v>-82406.69183999997</v>
      </c>
      <c r="AQ166" s="125">
        <f>IF(AI166&lt;Valores!$E$73,-0.02,IF(AI166&lt;Valores!$F$73,-0.03,-0.04))*AI166</f>
        <v>-14983.034879999994</v>
      </c>
      <c r="AR166" s="125">
        <f>AI166*Valores!$C$75</f>
        <v>-41203.345919999985</v>
      </c>
      <c r="AS166" s="125">
        <f>Valores!$C$102</f>
        <v>-1270.1600000000001</v>
      </c>
      <c r="AT166" s="125">
        <f>IF($F$5=0,Valores!$C$103,(Valores!$C$103+$F$5*(Valores!$C$103)))</f>
        <v>-3700</v>
      </c>
      <c r="AU166" s="125">
        <f t="shared" si="26"/>
        <v>675588.51135999977</v>
      </c>
      <c r="AV166" s="125">
        <f t="shared" si="20"/>
        <v>-82406.69183999997</v>
      </c>
      <c r="AW166" s="125">
        <f t="shared" si="27"/>
        <v>-14983.034879999994</v>
      </c>
      <c r="AX166" s="125">
        <f>AI166*Valores!$C$76</f>
        <v>-20227.097087999991</v>
      </c>
      <c r="AY166" s="125">
        <f>AI166*Valores!$C$77</f>
        <v>-2247.4552319999993</v>
      </c>
      <c r="AZ166" s="125">
        <f t="shared" si="24"/>
        <v>699287.46495999978</v>
      </c>
      <c r="BA166" s="125">
        <f>AI166*Valores!$C$79</f>
        <v>119864.27903999995</v>
      </c>
      <c r="BB166" s="125">
        <f>AI166*Valores!$C$80</f>
        <v>52440.622079999986</v>
      </c>
      <c r="BC166" s="125">
        <f>AI166*Valores!$C$81</f>
        <v>7491.5174399999969</v>
      </c>
      <c r="BD166" s="125">
        <f>AI166*Valores!$C$83</f>
        <v>26220.311039999993</v>
      </c>
      <c r="BE166" s="125">
        <f>AI166*Valores!$C$85</f>
        <v>40454.194175999983</v>
      </c>
      <c r="BF166" s="125">
        <f>AI166*Valores!$C$84</f>
        <v>4494.9104639999987</v>
      </c>
      <c r="BG166" s="126"/>
      <c r="BH166" s="126">
        <v>45</v>
      </c>
      <c r="BI166" s="123" t="s">
        <v>8</v>
      </c>
    </row>
    <row r="167" spans="1:61" s="110" customFormat="1" ht="11.25" customHeight="1" x14ac:dyDescent="0.15">
      <c r="A167" s="123" t="s">
        <v>417</v>
      </c>
      <c r="B167" s="123">
        <v>1</v>
      </c>
      <c r="C167" s="126">
        <v>160</v>
      </c>
      <c r="D167" s="124" t="s">
        <v>418</v>
      </c>
      <c r="E167" s="192">
        <v>83</v>
      </c>
      <c r="F167" s="125">
        <f>ROUND(E167*Valores!$C$2,2)</f>
        <v>6440.53</v>
      </c>
      <c r="G167" s="192">
        <v>2092</v>
      </c>
      <c r="H167" s="125">
        <f>ROUND(G167*Valores!$C$2,2)</f>
        <v>162332.29999999999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75366.289999999994</v>
      </c>
      <c r="N167" s="125">
        <f t="shared" si="21"/>
        <v>0</v>
      </c>
      <c r="O167" s="125">
        <f>Valores!$C$16</f>
        <v>67049.36</v>
      </c>
      <c r="P167" s="125">
        <f>Valores!$D$5</f>
        <v>39667.43</v>
      </c>
      <c r="Q167" s="125">
        <v>0</v>
      </c>
      <c r="R167" s="125">
        <f>IF($F$4="NO",Valores!$C$48,Valores!$C$48/2)</f>
        <v>41465.839999999997</v>
      </c>
      <c r="S167" s="125">
        <f>Valores!$C$19</f>
        <v>36908.81</v>
      </c>
      <c r="T167" s="125">
        <f t="shared" si="28"/>
        <v>36908.81</v>
      </c>
      <c r="U167" s="125">
        <v>0</v>
      </c>
      <c r="V167" s="125">
        <v>0</v>
      </c>
      <c r="W167" s="192">
        <v>700</v>
      </c>
      <c r="X167" s="125">
        <f>ROUND(W167*Valores!$C$2,2)</f>
        <v>54317.69</v>
      </c>
      <c r="Y167" s="125">
        <f>ROUND(SUM(J167,H167,F167,R167)*Valores!$C$3,2)</f>
        <v>31535.8</v>
      </c>
      <c r="Z167" s="125">
        <f>Valores!$C$98</f>
        <v>108631.74</v>
      </c>
      <c r="AA167" s="125">
        <f>Valores!$C$25</f>
        <v>1622.32</v>
      </c>
      <c r="AB167" s="214">
        <v>0</v>
      </c>
      <c r="AC167" s="125">
        <f t="shared" si="22"/>
        <v>0</v>
      </c>
      <c r="AD167" s="125">
        <f>Valores!$C$26</f>
        <v>1622.32</v>
      </c>
      <c r="AE167" s="192">
        <v>94</v>
      </c>
      <c r="AF167" s="125">
        <f>ROUND(AE167*Valores!$C$2,2)</f>
        <v>7294.09</v>
      </c>
      <c r="AG167" s="125">
        <f>ROUND(IF($F$4="NO",Valores!$C$64,Valores!$C$64/2),2)</f>
        <v>18547.32</v>
      </c>
      <c r="AH167" s="125">
        <f>SUM(F167,H167,J167,L167,M167,N167,O167,P167,Q167,R167,T167,U167,V167,X167,Y167,Z167,AA167,AC167,AD167,AF167,AG167)*Valores!$C$104</f>
        <v>65280.183999999987</v>
      </c>
      <c r="AI167" s="125">
        <f t="shared" si="25"/>
        <v>718082.02399999986</v>
      </c>
      <c r="AJ167" s="125">
        <f>Valores!$C$32</f>
        <v>70000</v>
      </c>
      <c r="AK167" s="125">
        <v>0</v>
      </c>
      <c r="AL167" s="125">
        <f>Valores!$C$91</f>
        <v>0</v>
      </c>
      <c r="AM167" s="125">
        <f>Valores!C$39*B167</f>
        <v>0</v>
      </c>
      <c r="AN167" s="125">
        <v>0</v>
      </c>
      <c r="AO167" s="125">
        <f t="shared" si="23"/>
        <v>70000</v>
      </c>
      <c r="AP167" s="125">
        <f>AI167*Valores!$C$72</f>
        <v>-78989.022639999981</v>
      </c>
      <c r="AQ167" s="125">
        <f>IF(AI167&lt;Valores!$E$73,-0.02,IF(AI167&lt;Valores!$F$73,-0.03,-0.04))*AI167</f>
        <v>-14361.640479999998</v>
      </c>
      <c r="AR167" s="125">
        <f>AI167*Valores!$C$75</f>
        <v>-39494.511319999991</v>
      </c>
      <c r="AS167" s="125">
        <f>Valores!$C$102</f>
        <v>-1270.1600000000001</v>
      </c>
      <c r="AT167" s="125">
        <f>IF($F$5=0,Valores!$C$103,(Valores!$C$103+$F$5*(Valores!$C$103)))</f>
        <v>-3700</v>
      </c>
      <c r="AU167" s="125">
        <f t="shared" si="26"/>
        <v>650266.68955999985</v>
      </c>
      <c r="AV167" s="125">
        <f t="shared" si="20"/>
        <v>-78989.022639999981</v>
      </c>
      <c r="AW167" s="125">
        <f t="shared" si="27"/>
        <v>-14361.640479999998</v>
      </c>
      <c r="AX167" s="125">
        <f>AI167*Valores!$C$76</f>
        <v>-19388.214647999997</v>
      </c>
      <c r="AY167" s="125">
        <f>AI167*Valores!$C$77</f>
        <v>-2154.2460719999995</v>
      </c>
      <c r="AZ167" s="125">
        <f t="shared" si="24"/>
        <v>673188.90015999984</v>
      </c>
      <c r="BA167" s="125">
        <f>AI167*Valores!$C$79</f>
        <v>114893.12383999999</v>
      </c>
      <c r="BB167" s="125">
        <f>AI167*Valores!$C$80</f>
        <v>50265.741679999992</v>
      </c>
      <c r="BC167" s="125">
        <f>AI167*Valores!$C$81</f>
        <v>7180.8202399999991</v>
      </c>
      <c r="BD167" s="125">
        <f>AI167*Valores!$C$83</f>
        <v>25132.870839999996</v>
      </c>
      <c r="BE167" s="125">
        <f>AI167*Valores!$C$85</f>
        <v>38776.429295999995</v>
      </c>
      <c r="BF167" s="125">
        <f>AI167*Valores!$C$84</f>
        <v>4308.4921439999989</v>
      </c>
      <c r="BG167" s="126"/>
      <c r="BH167" s="126">
        <v>45</v>
      </c>
      <c r="BI167" s="123" t="s">
        <v>8</v>
      </c>
    </row>
    <row r="168" spans="1:61" s="110" customFormat="1" ht="11.25" customHeight="1" x14ac:dyDescent="0.15">
      <c r="A168" s="123" t="s">
        <v>419</v>
      </c>
      <c r="B168" s="123">
        <v>1</v>
      </c>
      <c r="C168" s="126">
        <v>161</v>
      </c>
      <c r="D168" s="124" t="s">
        <v>420</v>
      </c>
      <c r="E168" s="192">
        <v>82</v>
      </c>
      <c r="F168" s="125">
        <f>ROUND(E168*Valores!$C$2,2)</f>
        <v>6362.93</v>
      </c>
      <c r="G168" s="192">
        <v>1941</v>
      </c>
      <c r="H168" s="125">
        <f>ROUND(G168*Valores!$C$2,2)</f>
        <v>150615.19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72417.62</v>
      </c>
      <c r="N168" s="125">
        <f t="shared" si="21"/>
        <v>0</v>
      </c>
      <c r="O168" s="125">
        <f>Valores!$C$16</f>
        <v>67049.36</v>
      </c>
      <c r="P168" s="125">
        <f>Valores!$D$5</f>
        <v>39667.43</v>
      </c>
      <c r="Q168" s="125">
        <v>0</v>
      </c>
      <c r="R168" s="125">
        <f>IF($F$4="NO",Valores!$C$48,Valores!$C$48/2)</f>
        <v>41465.839999999997</v>
      </c>
      <c r="S168" s="125">
        <f>Valores!$C$19</f>
        <v>36908.81</v>
      </c>
      <c r="T168" s="125">
        <f t="shared" si="28"/>
        <v>36908.81</v>
      </c>
      <c r="U168" s="125">
        <v>0</v>
      </c>
      <c r="V168" s="125">
        <v>0</v>
      </c>
      <c r="W168" s="192">
        <v>700</v>
      </c>
      <c r="X168" s="125">
        <f>ROUND(W168*Valores!$C$2,2)</f>
        <v>54317.69</v>
      </c>
      <c r="Y168" s="125">
        <f>ROUND(SUM(J168,H168,F168,R168)*Valores!$C$3,2)</f>
        <v>29766.59</v>
      </c>
      <c r="Z168" s="125">
        <f>Valores!$C$98</f>
        <v>108631.74</v>
      </c>
      <c r="AA168" s="125">
        <f>Valores!$C$25</f>
        <v>1622.32</v>
      </c>
      <c r="AB168" s="214">
        <v>0</v>
      </c>
      <c r="AC168" s="125">
        <f t="shared" si="22"/>
        <v>0</v>
      </c>
      <c r="AD168" s="125">
        <f>Valores!$C$26</f>
        <v>1622.32</v>
      </c>
      <c r="AE168" s="192">
        <v>94</v>
      </c>
      <c r="AF168" s="125">
        <f>ROUND(AE168*Valores!$C$2,2)</f>
        <v>7294.09</v>
      </c>
      <c r="AG168" s="125">
        <f>ROUND(IF($F$4="NO",Valores!$C$64,Valores!$C$64/2),2)</f>
        <v>18547.32</v>
      </c>
      <c r="AH168" s="125">
        <f>SUM(F168,H168,J168,L168,M168,N168,O168,P168,Q168,R168,T168,U168,V168,X168,Y168,Z168,AA168,AC168,AD168,AF168,AG168)*Valores!$C$104</f>
        <v>63628.924999999988</v>
      </c>
      <c r="AI168" s="125">
        <f t="shared" si="25"/>
        <v>699918.17499999981</v>
      </c>
      <c r="AJ168" s="125">
        <f>Valores!$C$32</f>
        <v>70000</v>
      </c>
      <c r="AK168" s="125">
        <v>0</v>
      </c>
      <c r="AL168" s="125">
        <f>Valores!$C$91</f>
        <v>0</v>
      </c>
      <c r="AM168" s="125">
        <f>Valores!C$39*B168</f>
        <v>0</v>
      </c>
      <c r="AN168" s="125">
        <v>0</v>
      </c>
      <c r="AO168" s="125">
        <f t="shared" si="23"/>
        <v>70000</v>
      </c>
      <c r="AP168" s="125">
        <f>AI168*Valores!$C$72</f>
        <v>-76990.999249999979</v>
      </c>
      <c r="AQ168" s="125">
        <f>IF(AI168&lt;Valores!$E$73,-0.02,IF(AI168&lt;Valores!$F$73,-0.03,-0.04))*AI168</f>
        <v>-13998.363499999996</v>
      </c>
      <c r="AR168" s="125">
        <f>AI168*Valores!$C$75</f>
        <v>-38495.499624999989</v>
      </c>
      <c r="AS168" s="125">
        <f>Valores!$C$102</f>
        <v>-1270.1600000000001</v>
      </c>
      <c r="AT168" s="125">
        <f>IF($F$5=0,Valores!$C$103,(Valores!$C$103+$F$5*(Valores!$C$103)))</f>
        <v>-3700</v>
      </c>
      <c r="AU168" s="125">
        <f t="shared" si="26"/>
        <v>635463.15262499987</v>
      </c>
      <c r="AV168" s="125">
        <f t="shared" si="20"/>
        <v>-76990.999249999979</v>
      </c>
      <c r="AW168" s="125">
        <f t="shared" si="27"/>
        <v>-13998.363499999996</v>
      </c>
      <c r="AX168" s="125">
        <f>AI168*Valores!$C$76</f>
        <v>-18897.790724999995</v>
      </c>
      <c r="AY168" s="125">
        <f>AI168*Valores!$C$77</f>
        <v>-2099.7545249999994</v>
      </c>
      <c r="AZ168" s="125">
        <f t="shared" si="24"/>
        <v>657931.26699999988</v>
      </c>
      <c r="BA168" s="125">
        <f>AI168*Valores!$C$79</f>
        <v>111986.90799999997</v>
      </c>
      <c r="BB168" s="125">
        <f>AI168*Valores!$C$80</f>
        <v>48994.272249999995</v>
      </c>
      <c r="BC168" s="125">
        <f>AI168*Valores!$C$81</f>
        <v>6999.1817499999979</v>
      </c>
      <c r="BD168" s="125">
        <f>AI168*Valores!$C$83</f>
        <v>24497.136124999997</v>
      </c>
      <c r="BE168" s="125">
        <f>AI168*Valores!$C$85</f>
        <v>37795.581449999991</v>
      </c>
      <c r="BF168" s="125">
        <f>AI168*Valores!$C$84</f>
        <v>4199.5090499999988</v>
      </c>
      <c r="BG168" s="126"/>
      <c r="BH168" s="126">
        <v>45</v>
      </c>
      <c r="BI168" s="123" t="s">
        <v>8</v>
      </c>
    </row>
    <row r="169" spans="1:61" s="110" customFormat="1" ht="11.25" customHeight="1" x14ac:dyDescent="0.15">
      <c r="A169" s="123" t="s">
        <v>421</v>
      </c>
      <c r="B169" s="123">
        <v>1</v>
      </c>
      <c r="C169" s="126">
        <v>162</v>
      </c>
      <c r="D169" s="124" t="s">
        <v>422</v>
      </c>
      <c r="E169" s="192">
        <v>79</v>
      </c>
      <c r="F169" s="125">
        <f>ROUND(E169*Valores!$C$2,2)</f>
        <v>6130.14</v>
      </c>
      <c r="G169" s="192">
        <v>2161</v>
      </c>
      <c r="H169" s="125">
        <f>ROUND(G169*Valores!$C$2,2)</f>
        <v>167686.47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76627.240000000005</v>
      </c>
      <c r="N169" s="125">
        <f t="shared" si="21"/>
        <v>0</v>
      </c>
      <c r="O169" s="125">
        <f>Valores!$C$16</f>
        <v>67049.36</v>
      </c>
      <c r="P169" s="125">
        <f>Valores!$D$5</f>
        <v>39667.43</v>
      </c>
      <c r="Q169" s="125">
        <v>0</v>
      </c>
      <c r="R169" s="125">
        <f>IF($F$4="NO",Valores!$C$48,Valores!$C$48/2)</f>
        <v>41465.839999999997</v>
      </c>
      <c r="S169" s="125">
        <f>Valores!$C$19</f>
        <v>36908.81</v>
      </c>
      <c r="T169" s="125">
        <f t="shared" si="28"/>
        <v>36908.81</v>
      </c>
      <c r="U169" s="125">
        <v>0</v>
      </c>
      <c r="V169" s="125">
        <v>0</v>
      </c>
      <c r="W169" s="192">
        <v>700</v>
      </c>
      <c r="X169" s="125">
        <f>ROUND(W169*Valores!$C$2,2)</f>
        <v>54317.69</v>
      </c>
      <c r="Y169" s="125">
        <f>ROUND(SUM(J169,H169,F169,R169)*Valores!$C$3,2)</f>
        <v>32292.37</v>
      </c>
      <c r="Z169" s="125">
        <f>Valores!$C$98</f>
        <v>108631.74</v>
      </c>
      <c r="AA169" s="125">
        <f>Valores!$C$25</f>
        <v>1622.32</v>
      </c>
      <c r="AB169" s="214">
        <v>0</v>
      </c>
      <c r="AC169" s="125">
        <f t="shared" si="22"/>
        <v>0</v>
      </c>
      <c r="AD169" s="125">
        <f>Valores!$C$26</f>
        <v>1622.32</v>
      </c>
      <c r="AE169" s="192">
        <v>94</v>
      </c>
      <c r="AF169" s="125">
        <f>ROUND(AE169*Valores!$C$2,2)</f>
        <v>7294.09</v>
      </c>
      <c r="AG169" s="125">
        <f>ROUND(IF($F$4="NO",Valores!$C$64,Valores!$C$64/2),2)</f>
        <v>18547.32</v>
      </c>
      <c r="AH169" s="125">
        <f>SUM(F169,H169,J169,L169,M169,N169,O169,P169,Q169,R169,T169,U169,V169,X169,Y169,Z169,AA169,AC169,AD169,AF169,AG169)*Valores!$C$104</f>
        <v>65986.313999999984</v>
      </c>
      <c r="AI169" s="125">
        <f t="shared" si="25"/>
        <v>725849.45399999979</v>
      </c>
      <c r="AJ169" s="125">
        <f>Valores!$C$32</f>
        <v>70000</v>
      </c>
      <c r="AK169" s="125">
        <v>0</v>
      </c>
      <c r="AL169" s="125">
        <f>Valores!$C$91</f>
        <v>0</v>
      </c>
      <c r="AM169" s="125">
        <f>Valores!C$39*B169</f>
        <v>0</v>
      </c>
      <c r="AN169" s="125">
        <v>0</v>
      </c>
      <c r="AO169" s="125">
        <f t="shared" si="23"/>
        <v>70000</v>
      </c>
      <c r="AP169" s="125">
        <f>AI169*Valores!$C$72</f>
        <v>-79843.439939999982</v>
      </c>
      <c r="AQ169" s="125">
        <f>IF(AI169&lt;Valores!$E$73,-0.02,IF(AI169&lt;Valores!$F$73,-0.03,-0.04))*AI169</f>
        <v>-14516.989079999996</v>
      </c>
      <c r="AR169" s="125">
        <f>AI169*Valores!$C$75</f>
        <v>-39921.719969999991</v>
      </c>
      <c r="AS169" s="125">
        <f>Valores!$C$102</f>
        <v>-1270.1600000000001</v>
      </c>
      <c r="AT169" s="125">
        <f>IF($F$5=0,Valores!$C$103,(Valores!$C$103+$F$5*(Valores!$C$103)))</f>
        <v>-3700</v>
      </c>
      <c r="AU169" s="125">
        <f t="shared" si="26"/>
        <v>656597.14500999986</v>
      </c>
      <c r="AV169" s="125">
        <f t="shared" si="20"/>
        <v>-79843.439939999982</v>
      </c>
      <c r="AW169" s="125">
        <f t="shared" si="27"/>
        <v>-14516.989079999996</v>
      </c>
      <c r="AX169" s="125">
        <f>AI169*Valores!$C$76</f>
        <v>-19597.935257999994</v>
      </c>
      <c r="AY169" s="125">
        <f>AI169*Valores!$C$77</f>
        <v>-2177.5483619999995</v>
      </c>
      <c r="AZ169" s="125">
        <f t="shared" si="24"/>
        <v>679713.5413599998</v>
      </c>
      <c r="BA169" s="125">
        <f>AI169*Valores!$C$79</f>
        <v>116135.91263999997</v>
      </c>
      <c r="BB169" s="125">
        <f>AI169*Valores!$C$80</f>
        <v>50809.461779999991</v>
      </c>
      <c r="BC169" s="125">
        <f>AI169*Valores!$C$81</f>
        <v>7258.4945399999979</v>
      </c>
      <c r="BD169" s="125">
        <f>AI169*Valores!$C$83</f>
        <v>25404.730889999995</v>
      </c>
      <c r="BE169" s="125">
        <f>AI169*Valores!$C$85</f>
        <v>39195.870515999988</v>
      </c>
      <c r="BF169" s="125">
        <f>AI169*Valores!$C$84</f>
        <v>4355.0967239999991</v>
      </c>
      <c r="BG169" s="126"/>
      <c r="BH169" s="126">
        <v>45</v>
      </c>
      <c r="BI169" s="123" t="s">
        <v>8</v>
      </c>
    </row>
    <row r="170" spans="1:61" s="110" customFormat="1" ht="11.25" customHeight="1" x14ac:dyDescent="0.15">
      <c r="A170" s="123" t="s">
        <v>423</v>
      </c>
      <c r="B170" s="123">
        <v>1</v>
      </c>
      <c r="C170" s="126">
        <v>163</v>
      </c>
      <c r="D170" s="124" t="s">
        <v>424</v>
      </c>
      <c r="E170" s="192">
        <v>98</v>
      </c>
      <c r="F170" s="125">
        <f>ROUND(E170*Valores!$C$2,2)</f>
        <v>7604.48</v>
      </c>
      <c r="G170" s="192">
        <v>2686</v>
      </c>
      <c r="H170" s="125">
        <f>ROUND(G170*Valores!$C$2,2)</f>
        <v>208424.74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87180.39</v>
      </c>
      <c r="N170" s="125">
        <f t="shared" si="21"/>
        <v>0</v>
      </c>
      <c r="O170" s="125">
        <f>Valores!$C$16</f>
        <v>67049.36</v>
      </c>
      <c r="P170" s="125">
        <f>Valores!$D$5</f>
        <v>39667.43</v>
      </c>
      <c r="Q170" s="125">
        <v>0</v>
      </c>
      <c r="R170" s="125">
        <f>IF($F$4="NO",Valores!$C$48,Valores!$C$48/2)</f>
        <v>41465.839999999997</v>
      </c>
      <c r="S170" s="125">
        <f>Valores!$C$19</f>
        <v>36908.81</v>
      </c>
      <c r="T170" s="125">
        <f t="shared" si="28"/>
        <v>36908.81</v>
      </c>
      <c r="U170" s="125">
        <v>0</v>
      </c>
      <c r="V170" s="125">
        <v>0</v>
      </c>
      <c r="W170" s="192">
        <v>700</v>
      </c>
      <c r="X170" s="125">
        <f>ROUND(W170*Valores!$C$2,2)</f>
        <v>54317.69</v>
      </c>
      <c r="Y170" s="125">
        <f>ROUND(SUM(J170,H170,F170,R170)*Valores!$C$3,2)</f>
        <v>38624.26</v>
      </c>
      <c r="Z170" s="125">
        <f>Valores!$C$98</f>
        <v>108631.74</v>
      </c>
      <c r="AA170" s="125">
        <f>Valores!$C$25</f>
        <v>1622.32</v>
      </c>
      <c r="AB170" s="214">
        <v>0</v>
      </c>
      <c r="AC170" s="125">
        <f t="shared" si="22"/>
        <v>0</v>
      </c>
      <c r="AD170" s="125">
        <f>Valores!$C$26</f>
        <v>1622.32</v>
      </c>
      <c r="AE170" s="192">
        <v>0</v>
      </c>
      <c r="AF170" s="125">
        <f>ROUND(AE170*Valores!$C$2,2)</f>
        <v>0</v>
      </c>
      <c r="AG170" s="125">
        <f>ROUND(IF($F$4="NO",Valores!$C$64,Valores!$C$64/2),2)</f>
        <v>18547.32</v>
      </c>
      <c r="AH170" s="125">
        <f>SUM(F170,H170,J170,L170,M170,N170,O170,P170,Q170,R170,T170,U170,V170,X170,Y170,Z170,AA170,AC170,AD170,AF170,AG170)*Valores!$C$104</f>
        <v>71166.669999999984</v>
      </c>
      <c r="AI170" s="125">
        <f t="shared" si="25"/>
        <v>782833.36999999988</v>
      </c>
      <c r="AJ170" s="125">
        <f>Valores!$C$32</f>
        <v>70000</v>
      </c>
      <c r="AK170" s="125">
        <v>0</v>
      </c>
      <c r="AL170" s="125">
        <f>Valores!$C$91</f>
        <v>0</v>
      </c>
      <c r="AM170" s="125">
        <f>Valores!C$39*B170</f>
        <v>0</v>
      </c>
      <c r="AN170" s="125">
        <v>0</v>
      </c>
      <c r="AO170" s="125">
        <f t="shared" si="23"/>
        <v>70000</v>
      </c>
      <c r="AP170" s="125">
        <f>AI170*Valores!$C$72</f>
        <v>-86111.670699999988</v>
      </c>
      <c r="AQ170" s="125">
        <f>IF(AI170&lt;Valores!$E$73,-0.02,IF(AI170&lt;Valores!$F$73,-0.03,-0.04))*AI170</f>
        <v>-23485.001099999994</v>
      </c>
      <c r="AR170" s="125">
        <f>AI170*Valores!$C$75</f>
        <v>-43055.835349999994</v>
      </c>
      <c r="AS170" s="125">
        <f>Valores!$C$102</f>
        <v>-1270.1600000000001</v>
      </c>
      <c r="AT170" s="125">
        <f>IF($F$5=0,Valores!$C$103,(Valores!$C$103+$F$5*(Valores!$C$103)))</f>
        <v>-3700</v>
      </c>
      <c r="AU170" s="125">
        <f t="shared" si="26"/>
        <v>695210.70284999989</v>
      </c>
      <c r="AV170" s="125">
        <f t="shared" si="20"/>
        <v>-86111.670699999988</v>
      </c>
      <c r="AW170" s="125">
        <f t="shared" si="27"/>
        <v>-23485.001099999994</v>
      </c>
      <c r="AX170" s="125">
        <f>AI170*Valores!$C$76</f>
        <v>-21136.500989999997</v>
      </c>
      <c r="AY170" s="125">
        <f>AI170*Valores!$C$77</f>
        <v>-2348.5001099999995</v>
      </c>
      <c r="AZ170" s="125">
        <f t="shared" si="24"/>
        <v>719751.69709999987</v>
      </c>
      <c r="BA170" s="125">
        <f>AI170*Valores!$C$79</f>
        <v>125253.33919999999</v>
      </c>
      <c r="BB170" s="125">
        <f>AI170*Valores!$C$80</f>
        <v>54798.335899999998</v>
      </c>
      <c r="BC170" s="125">
        <f>AI170*Valores!$C$81</f>
        <v>7828.3336999999992</v>
      </c>
      <c r="BD170" s="125">
        <f>AI170*Valores!$C$83</f>
        <v>27399.167949999999</v>
      </c>
      <c r="BE170" s="125">
        <f>AI170*Valores!$C$85</f>
        <v>42273.001979999994</v>
      </c>
      <c r="BF170" s="125">
        <f>AI170*Valores!$C$84</f>
        <v>4697.000219999999</v>
      </c>
      <c r="BG170" s="126"/>
      <c r="BH170" s="126"/>
      <c r="BI170" s="123" t="s">
        <v>8</v>
      </c>
    </row>
    <row r="171" spans="1:61" s="110" customFormat="1" ht="11.25" customHeight="1" x14ac:dyDescent="0.15">
      <c r="A171" s="123" t="s">
        <v>425</v>
      </c>
      <c r="B171" s="123">
        <v>1</v>
      </c>
      <c r="C171" s="126">
        <v>164</v>
      </c>
      <c r="D171" s="124" t="s">
        <v>426</v>
      </c>
      <c r="E171" s="192">
        <v>93</v>
      </c>
      <c r="F171" s="125">
        <f>ROUND(E171*Valores!$C$2,2)</f>
        <v>7216.49</v>
      </c>
      <c r="G171" s="192">
        <v>2547</v>
      </c>
      <c r="H171" s="125">
        <f>ROUND(G171*Valores!$C$2,2)</f>
        <v>197638.79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84386.91</v>
      </c>
      <c r="N171" s="125">
        <f t="shared" si="21"/>
        <v>0</v>
      </c>
      <c r="O171" s="125">
        <f>Valores!$C$16</f>
        <v>67049.36</v>
      </c>
      <c r="P171" s="125">
        <f>Valores!$D$5</f>
        <v>39667.43</v>
      </c>
      <c r="Q171" s="125">
        <v>0</v>
      </c>
      <c r="R171" s="125">
        <f>IF($F$4="NO",Valores!$C$48,Valores!$C$48/2)</f>
        <v>41465.839999999997</v>
      </c>
      <c r="S171" s="125">
        <f>Valores!$C$19</f>
        <v>36908.81</v>
      </c>
      <c r="T171" s="125">
        <f t="shared" si="28"/>
        <v>36908.81</v>
      </c>
      <c r="U171" s="125">
        <v>0</v>
      </c>
      <c r="V171" s="125">
        <v>0</v>
      </c>
      <c r="W171" s="192">
        <v>700</v>
      </c>
      <c r="X171" s="125">
        <f>ROUND(W171*Valores!$C$2,2)</f>
        <v>54317.69</v>
      </c>
      <c r="Y171" s="125">
        <f>ROUND(SUM(J171,H171,F171,R171)*Valores!$C$3,2)</f>
        <v>36948.17</v>
      </c>
      <c r="Z171" s="125">
        <f>Valores!$C$98</f>
        <v>108631.74</v>
      </c>
      <c r="AA171" s="125">
        <f>Valores!$C$25</f>
        <v>1622.32</v>
      </c>
      <c r="AB171" s="214">
        <v>0</v>
      </c>
      <c r="AC171" s="125">
        <f t="shared" si="22"/>
        <v>0</v>
      </c>
      <c r="AD171" s="125">
        <f>Valores!$C$26</f>
        <v>1622.32</v>
      </c>
      <c r="AE171" s="192">
        <v>0</v>
      </c>
      <c r="AF171" s="125">
        <f>ROUND(AE171*Valores!$C$2,2)</f>
        <v>0</v>
      </c>
      <c r="AG171" s="125">
        <f>ROUND(IF($F$4="NO",Valores!$C$64,Valores!$C$64/2),2)</f>
        <v>18547.32</v>
      </c>
      <c r="AH171" s="125">
        <f>SUM(F171,H171,J171,L171,M171,N171,O171,P171,Q171,R171,T171,U171,V171,X171,Y171,Z171,AA171,AC171,AD171,AF171,AG171)*Valores!$C$104</f>
        <v>69602.318999999989</v>
      </c>
      <c r="AI171" s="125">
        <f t="shared" si="25"/>
        <v>765625.50899999985</v>
      </c>
      <c r="AJ171" s="125">
        <f>Valores!$C$32</f>
        <v>70000</v>
      </c>
      <c r="AK171" s="125">
        <v>0</v>
      </c>
      <c r="AL171" s="125">
        <f>Valores!$C$91</f>
        <v>0</v>
      </c>
      <c r="AM171" s="125">
        <f>Valores!C$39*B171</f>
        <v>0</v>
      </c>
      <c r="AN171" s="125">
        <v>0</v>
      </c>
      <c r="AO171" s="125">
        <f t="shared" si="23"/>
        <v>70000</v>
      </c>
      <c r="AP171" s="125">
        <f>AI171*Valores!$C$72</f>
        <v>-84218.805989999979</v>
      </c>
      <c r="AQ171" s="125">
        <f>IF(AI171&lt;Valores!$E$73,-0.02,IF(AI171&lt;Valores!$F$73,-0.03,-0.04))*AI171</f>
        <v>-22968.765269999996</v>
      </c>
      <c r="AR171" s="125">
        <f>AI171*Valores!$C$75</f>
        <v>-42109.402994999989</v>
      </c>
      <c r="AS171" s="125">
        <f>Valores!$C$102</f>
        <v>-1270.1600000000001</v>
      </c>
      <c r="AT171" s="125">
        <f>IF($F$5=0,Valores!$C$103,(Valores!$C$103+$F$5*(Valores!$C$103)))</f>
        <v>-3700</v>
      </c>
      <c r="AU171" s="125">
        <f t="shared" si="26"/>
        <v>681358.37474499992</v>
      </c>
      <c r="AV171" s="125">
        <f t="shared" si="20"/>
        <v>-84218.805989999979</v>
      </c>
      <c r="AW171" s="125">
        <f t="shared" si="27"/>
        <v>-22968.765269999996</v>
      </c>
      <c r="AX171" s="125">
        <f>AI171*Valores!$C$76</f>
        <v>-20671.888742999996</v>
      </c>
      <c r="AY171" s="125">
        <f>AI171*Valores!$C$77</f>
        <v>-2296.8765269999994</v>
      </c>
      <c r="AZ171" s="125">
        <f t="shared" si="24"/>
        <v>705469.17246999987</v>
      </c>
      <c r="BA171" s="125">
        <f>AI171*Valores!$C$79</f>
        <v>122500.08143999998</v>
      </c>
      <c r="BB171" s="125">
        <f>AI171*Valores!$C$80</f>
        <v>53593.785629999991</v>
      </c>
      <c r="BC171" s="125">
        <f>AI171*Valores!$C$81</f>
        <v>7656.2550899999987</v>
      </c>
      <c r="BD171" s="125">
        <f>AI171*Valores!$C$83</f>
        <v>26796.892814999996</v>
      </c>
      <c r="BE171" s="125">
        <f>AI171*Valores!$C$85</f>
        <v>41343.777485999992</v>
      </c>
      <c r="BF171" s="125">
        <f>AI171*Valores!$C$84</f>
        <v>4593.7530539999989</v>
      </c>
      <c r="BG171" s="126"/>
      <c r="BH171" s="126"/>
      <c r="BI171" s="123" t="s">
        <v>4</v>
      </c>
    </row>
    <row r="172" spans="1:61" s="110" customFormat="1" ht="11.25" customHeight="1" x14ac:dyDescent="0.15">
      <c r="A172" s="123" t="s">
        <v>427</v>
      </c>
      <c r="B172" s="123">
        <v>1</v>
      </c>
      <c r="C172" s="126">
        <v>165</v>
      </c>
      <c r="D172" s="124" t="s">
        <v>428</v>
      </c>
      <c r="E172" s="192">
        <v>1278</v>
      </c>
      <c r="F172" s="125">
        <f>ROUND(E172*Valores!$C$2,2)</f>
        <v>99168.58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61845.07</v>
      </c>
      <c r="N172" s="125">
        <f t="shared" si="21"/>
        <v>0</v>
      </c>
      <c r="O172" s="125">
        <f>Valores!$C$16</f>
        <v>67049.36</v>
      </c>
      <c r="P172" s="125">
        <f>Valores!$D$5</f>
        <v>39667.43</v>
      </c>
      <c r="Q172" s="125">
        <v>0</v>
      </c>
      <c r="R172" s="125">
        <f>IF($F$4="NO",Valores!$C$48,Valores!$C$48/2)</f>
        <v>41465.839999999997</v>
      </c>
      <c r="S172" s="125">
        <f>Valores!$C$19</f>
        <v>36908.81</v>
      </c>
      <c r="T172" s="125">
        <f t="shared" si="28"/>
        <v>36908.81</v>
      </c>
      <c r="U172" s="125">
        <v>0</v>
      </c>
      <c r="V172" s="125">
        <v>0</v>
      </c>
      <c r="W172" s="192">
        <v>900</v>
      </c>
      <c r="X172" s="125">
        <f>ROUND(W172*Valores!$C$2,2)</f>
        <v>69837.03</v>
      </c>
      <c r="Y172" s="125">
        <f>ROUND(SUM(J172,H172,F172,R172)*Valores!$C$3,2)</f>
        <v>21095.16</v>
      </c>
      <c r="Z172" s="125">
        <f>Valores!$C$98</f>
        <v>108631.74</v>
      </c>
      <c r="AA172" s="125">
        <f>Valores!$C$25</f>
        <v>1622.32</v>
      </c>
      <c r="AB172" s="214">
        <v>0</v>
      </c>
      <c r="AC172" s="125">
        <f t="shared" si="22"/>
        <v>0</v>
      </c>
      <c r="AD172" s="125">
        <f>Valores!$C$26</f>
        <v>1622.32</v>
      </c>
      <c r="AE172" s="192">
        <v>94</v>
      </c>
      <c r="AF172" s="125">
        <f>ROUND(AE172*Valores!$C$2,2)</f>
        <v>7294.09</v>
      </c>
      <c r="AG172" s="125">
        <f>ROUND(IF($F$4="NO",Valores!$C$64,Valores!$C$64/2),2)</f>
        <v>18547.32</v>
      </c>
      <c r="AH172" s="125">
        <f>SUM(F172,H172,J172,L172,M172,N172,O172,P172,Q172,R172,T172,U172,V172,X172,Y172,Z172,AA172,AC172,AD172,AF172,AG172)*Valores!$C$104</f>
        <v>57475.506999999983</v>
      </c>
      <c r="AI172" s="125">
        <f t="shared" si="25"/>
        <v>632230.57699999982</v>
      </c>
      <c r="AJ172" s="125">
        <f>Valores!$C$32</f>
        <v>70000</v>
      </c>
      <c r="AK172" s="125">
        <v>0</v>
      </c>
      <c r="AL172" s="125">
        <f>Valores!$C$91</f>
        <v>0</v>
      </c>
      <c r="AM172" s="125">
        <f>Valores!C$39*B172</f>
        <v>0</v>
      </c>
      <c r="AN172" s="125">
        <f>IF($F$3="NO",0,Valores!$C$56)</f>
        <v>0</v>
      </c>
      <c r="AO172" s="125">
        <f t="shared" si="23"/>
        <v>70000</v>
      </c>
      <c r="AP172" s="125">
        <f>AI172*Valores!$C$72</f>
        <v>-69545.363469999982</v>
      </c>
      <c r="AQ172" s="125">
        <f>IF(AI172&lt;Valores!$E$73,-0.02,IF(AI172&lt;Valores!$F$73,-0.03,-0.04))*AI172</f>
        <v>-12644.611539999996</v>
      </c>
      <c r="AR172" s="125">
        <f>AI172*Valores!$C$75</f>
        <v>-34772.681734999991</v>
      </c>
      <c r="AS172" s="125">
        <f>Valores!$C$102</f>
        <v>-1270.1600000000001</v>
      </c>
      <c r="AT172" s="125">
        <f>IF($F$5=0,Valores!$C$103,(Valores!$C$103+$F$5*(Valores!$C$103)))</f>
        <v>-3700</v>
      </c>
      <c r="AU172" s="125">
        <f t="shared" si="26"/>
        <v>580297.76025499986</v>
      </c>
      <c r="AV172" s="125">
        <f t="shared" si="20"/>
        <v>-69545.363469999982</v>
      </c>
      <c r="AW172" s="125">
        <f t="shared" si="27"/>
        <v>-12644.611539999996</v>
      </c>
      <c r="AX172" s="125">
        <f>AI172*Valores!$C$76</f>
        <v>-17070.225578999994</v>
      </c>
      <c r="AY172" s="125">
        <f>AI172*Valores!$C$77</f>
        <v>-1896.6917309999994</v>
      </c>
      <c r="AZ172" s="125">
        <f t="shared" si="24"/>
        <v>601073.68467999983</v>
      </c>
      <c r="BA172" s="125">
        <f>AI172*Valores!$C$79</f>
        <v>101156.89231999997</v>
      </c>
      <c r="BB172" s="125">
        <f>AI172*Valores!$C$80</f>
        <v>44256.140389999993</v>
      </c>
      <c r="BC172" s="125">
        <f>AI172*Valores!$C$81</f>
        <v>6322.3057699999981</v>
      </c>
      <c r="BD172" s="125">
        <f>AI172*Valores!$C$83</f>
        <v>22128.070194999997</v>
      </c>
      <c r="BE172" s="125">
        <f>AI172*Valores!$C$85</f>
        <v>34140.451157999989</v>
      </c>
      <c r="BF172" s="125">
        <f>AI172*Valores!$C$84</f>
        <v>3793.3834619999989</v>
      </c>
      <c r="BG172" s="126"/>
      <c r="BH172" s="126">
        <v>36</v>
      </c>
      <c r="BI172" s="123" t="s">
        <v>4</v>
      </c>
    </row>
    <row r="173" spans="1:61" s="110" customFormat="1" ht="11.25" customHeight="1" x14ac:dyDescent="0.15">
      <c r="A173" s="123" t="s">
        <v>429</v>
      </c>
      <c r="B173" s="123">
        <v>1</v>
      </c>
      <c r="C173" s="126">
        <v>166</v>
      </c>
      <c r="D173" s="124" t="s">
        <v>430</v>
      </c>
      <c r="E173" s="192">
        <v>217</v>
      </c>
      <c r="F173" s="125">
        <f>ROUND(E173*Valores!$C$2,2)</f>
        <v>16838.48</v>
      </c>
      <c r="G173" s="192">
        <f>2245</f>
        <v>2245</v>
      </c>
      <c r="H173" s="125">
        <f>ROUND(G173*Valores!$C$2,2)</f>
        <v>174204.59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100875.71</v>
      </c>
      <c r="M173" s="125">
        <f>ROUND(IF($H$2=0,IF(AND(A173&lt;&gt;"13-930",A173&lt;&gt;"13-940"),(SUM(F173,H173,J173,L173,X173,T173,R173)*Valores!$C$4),0),0),2)</f>
        <v>92573.36</v>
      </c>
      <c r="N173" s="125">
        <f t="shared" si="21"/>
        <v>0</v>
      </c>
      <c r="O173" s="125">
        <f>Valores!$C$9</f>
        <v>97503.47</v>
      </c>
      <c r="P173" s="125">
        <f>Valores!$D$5</f>
        <v>39667.43</v>
      </c>
      <c r="Q173" s="125">
        <f>Valores!$C$22</f>
        <v>35387.42</v>
      </c>
      <c r="R173" s="125">
        <f>IF($F$4="NO",Valores!$C$48,Valores!$C$48/2)</f>
        <v>41465.839999999997</v>
      </c>
      <c r="S173" s="125">
        <f>Valores!$C$19</f>
        <v>36908.81</v>
      </c>
      <c r="T173" s="125">
        <f t="shared" si="28"/>
        <v>36908.81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Valores!$C$98</f>
        <v>108631.74</v>
      </c>
      <c r="AA173" s="125">
        <f>Valores!$C$25</f>
        <v>1622.32</v>
      </c>
      <c r="AB173" s="214">
        <v>0</v>
      </c>
      <c r="AC173" s="125">
        <f t="shared" si="22"/>
        <v>0</v>
      </c>
      <c r="AD173" s="125">
        <f>Valores!$C$26</f>
        <v>1622.32</v>
      </c>
      <c r="AE173" s="192">
        <v>0</v>
      </c>
      <c r="AF173" s="125">
        <f>ROUND(AE173*Valores!$C$2,2)</f>
        <v>0</v>
      </c>
      <c r="AG173" s="125">
        <f>ROUND(IF($F$4="NO",Valores!$C$64,Valores!$C$64/2),2)</f>
        <v>18547.32</v>
      </c>
      <c r="AH173" s="125">
        <f>SUM(F173,H173,J173,L173,M173,N173,O173,P173,Q173,R173,T173,U173,V173,X173,Y173,Z173,AA173,AC173,AD173,AF173,AG173)*Valores!$C$104</f>
        <v>76584.880999999979</v>
      </c>
      <c r="AI173" s="125">
        <f t="shared" si="25"/>
        <v>842433.69099999964</v>
      </c>
      <c r="AJ173" s="125">
        <f>Valores!$C$32</f>
        <v>70000</v>
      </c>
      <c r="AK173" s="125">
        <v>0</v>
      </c>
      <c r="AL173" s="125">
        <f>Valores!$C$91</f>
        <v>0</v>
      </c>
      <c r="AM173" s="125">
        <f>Valores!C$39*B173</f>
        <v>0</v>
      </c>
      <c r="AN173" s="125">
        <f>IF($F$3="NO",0,Valores!$C$56)</f>
        <v>0</v>
      </c>
      <c r="AO173" s="125">
        <f t="shared" si="23"/>
        <v>70000</v>
      </c>
      <c r="AP173" s="125">
        <f>AI173*Valores!$C$72</f>
        <v>-92667.706009999965</v>
      </c>
      <c r="AQ173" s="125">
        <f>IF(AI173&lt;Valores!$E$73,-0.02,IF(AI173&lt;Valores!$F$73,-0.03,-0.04))*AI173</f>
        <v>-25273.010729999987</v>
      </c>
      <c r="AR173" s="125">
        <f>AI173*Valores!$C$75</f>
        <v>-46333.853004999983</v>
      </c>
      <c r="AS173" s="125">
        <f>Valores!$C$102</f>
        <v>-1270.1600000000001</v>
      </c>
      <c r="AT173" s="125">
        <f>IF($F$5=0,Valores!$C$103,(Valores!$C$103+$F$5*(Valores!$C$103)))</f>
        <v>-3700</v>
      </c>
      <c r="AU173" s="125">
        <f t="shared" si="26"/>
        <v>743188.96125499974</v>
      </c>
      <c r="AV173" s="125">
        <f t="shared" si="20"/>
        <v>-92667.706009999965</v>
      </c>
      <c r="AW173" s="125">
        <f t="shared" si="27"/>
        <v>-25273.010729999987</v>
      </c>
      <c r="AX173" s="125">
        <f>AI173*Valores!$C$76</f>
        <v>-22745.709656999989</v>
      </c>
      <c r="AY173" s="125">
        <f>AI173*Valores!$C$77</f>
        <v>-2527.3010729999992</v>
      </c>
      <c r="AZ173" s="125">
        <f t="shared" si="24"/>
        <v>769219.96352999972</v>
      </c>
      <c r="BA173" s="125">
        <f>AI173*Valores!$C$79</f>
        <v>134789.39055999994</v>
      </c>
      <c r="BB173" s="125">
        <f>AI173*Valores!$C$80</f>
        <v>58970.35836999998</v>
      </c>
      <c r="BC173" s="125">
        <f>AI173*Valores!$C$81</f>
        <v>8424.3369099999964</v>
      </c>
      <c r="BD173" s="125">
        <f>AI173*Valores!$C$83</f>
        <v>29485.17918499999</v>
      </c>
      <c r="BE173" s="125">
        <f>AI173*Valores!$C$85</f>
        <v>45491.419313999977</v>
      </c>
      <c r="BF173" s="125">
        <f>AI173*Valores!$C$84</f>
        <v>5054.6021459999984</v>
      </c>
      <c r="BG173" s="126"/>
      <c r="BH173" s="126">
        <v>45</v>
      </c>
      <c r="BI173" s="123" t="s">
        <v>4</v>
      </c>
    </row>
    <row r="174" spans="1:61" s="110" customFormat="1" ht="11.25" customHeight="1" x14ac:dyDescent="0.15">
      <c r="A174" s="123" t="s">
        <v>431</v>
      </c>
      <c r="B174" s="123">
        <v>1</v>
      </c>
      <c r="C174" s="126">
        <v>167</v>
      </c>
      <c r="D174" s="124" t="s">
        <v>432</v>
      </c>
      <c r="E174" s="192">
        <v>185</v>
      </c>
      <c r="F174" s="125">
        <f>ROUND(E174*Valores!$C$2,2)</f>
        <v>14355.39</v>
      </c>
      <c r="G174" s="192">
        <f>1835</f>
        <v>1835</v>
      </c>
      <c r="H174" s="125">
        <f>ROUND(G174*Valores!$C$2,2)</f>
        <v>142389.94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100875.71</v>
      </c>
      <c r="M174" s="125">
        <f>ROUND(IF($H$2=0,IF(AND(A174&lt;&gt;"13-930",A174&lt;&gt;"13-940"),(SUM(F174,H174,J174,L174,X174,T174,R174)*Valores!$C$4),0),0),2)</f>
        <v>83998.92</v>
      </c>
      <c r="N174" s="125">
        <f t="shared" si="21"/>
        <v>0</v>
      </c>
      <c r="O174" s="125">
        <f>Valores!$C$9</f>
        <v>97503.47</v>
      </c>
      <c r="P174" s="125">
        <f>Valores!$D$5</f>
        <v>39667.43</v>
      </c>
      <c r="Q174" s="125">
        <f>Valores!$C$22</f>
        <v>35387.42</v>
      </c>
      <c r="R174" s="125">
        <f>IF($F$4="NO",Valores!$C$48,Valores!$C$48/2)</f>
        <v>41465.839999999997</v>
      </c>
      <c r="S174" s="125">
        <f>Valores!$C$19</f>
        <v>36908.81</v>
      </c>
      <c r="T174" s="125">
        <f t="shared" si="28"/>
        <v>36908.81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Valores!$C$98</f>
        <v>108631.74</v>
      </c>
      <c r="AA174" s="125">
        <f>Valores!$C$25</f>
        <v>1622.32</v>
      </c>
      <c r="AB174" s="214">
        <v>0</v>
      </c>
      <c r="AC174" s="125">
        <f t="shared" si="22"/>
        <v>0</v>
      </c>
      <c r="AD174" s="125">
        <f>Valores!$C$26</f>
        <v>1622.32</v>
      </c>
      <c r="AE174" s="192">
        <v>0</v>
      </c>
      <c r="AF174" s="125">
        <f>ROUND(AE174*Valores!$C$2,2)</f>
        <v>0</v>
      </c>
      <c r="AG174" s="125">
        <f>ROUND(IF($F$4="NO",Valores!$C$64,Valores!$C$64/2),2)</f>
        <v>18547.32</v>
      </c>
      <c r="AH174" s="125">
        <f>SUM(F174,H174,J174,L174,M174,N174,O174,P174,Q174,R174,T174,U174,V174,X174,Y174,Z174,AA174,AC174,AD174,AF174,AG174)*Valores!$C$104</f>
        <v>72297.662999999986</v>
      </c>
      <c r="AI174" s="125">
        <f t="shared" si="25"/>
        <v>795274.29299999971</v>
      </c>
      <c r="AJ174" s="125">
        <f>Valores!$C$32</f>
        <v>70000</v>
      </c>
      <c r="AK174" s="125">
        <v>0</v>
      </c>
      <c r="AL174" s="125">
        <f>Valores!$C$91</f>
        <v>0</v>
      </c>
      <c r="AM174" s="125">
        <f>Valores!C$39*B174</f>
        <v>0</v>
      </c>
      <c r="AN174" s="125">
        <f>IF($F$3="NO",0,Valores!$C$56)</f>
        <v>0</v>
      </c>
      <c r="AO174" s="125">
        <f t="shared" si="23"/>
        <v>70000</v>
      </c>
      <c r="AP174" s="125">
        <f>AI174*Valores!$C$72</f>
        <v>-87480.172229999967</v>
      </c>
      <c r="AQ174" s="125">
        <f>IF(AI174&lt;Valores!$E$73,-0.02,IF(AI174&lt;Valores!$F$73,-0.03,-0.04))*AI174</f>
        <v>-23858.22878999999</v>
      </c>
      <c r="AR174" s="125">
        <f>AI174*Valores!$C$75</f>
        <v>-43740.086114999984</v>
      </c>
      <c r="AS174" s="125">
        <f>Valores!$C$102</f>
        <v>-1270.1600000000001</v>
      </c>
      <c r="AT174" s="125">
        <f>IF($F$5=0,Valores!$C$103,(Valores!$C$103+$F$5*(Valores!$C$103)))</f>
        <v>-3700</v>
      </c>
      <c r="AU174" s="125">
        <f t="shared" si="26"/>
        <v>705225.64586499974</v>
      </c>
      <c r="AV174" s="125">
        <f t="shared" si="20"/>
        <v>-87480.172229999967</v>
      </c>
      <c r="AW174" s="125">
        <f t="shared" si="27"/>
        <v>-23858.22878999999</v>
      </c>
      <c r="AX174" s="125">
        <f>AI174*Valores!$C$76</f>
        <v>-21472.405910999991</v>
      </c>
      <c r="AY174" s="125">
        <f>AI174*Valores!$C$77</f>
        <v>-2385.8228789999994</v>
      </c>
      <c r="AZ174" s="125">
        <f t="shared" si="24"/>
        <v>730077.66318999976</v>
      </c>
      <c r="BA174" s="125">
        <f>AI174*Valores!$C$79</f>
        <v>127243.88687999996</v>
      </c>
      <c r="BB174" s="125">
        <f>AI174*Valores!$C$80</f>
        <v>55669.200509999988</v>
      </c>
      <c r="BC174" s="125">
        <f>AI174*Valores!$C$81</f>
        <v>7952.7429299999976</v>
      </c>
      <c r="BD174" s="125">
        <f>AI174*Valores!$C$83</f>
        <v>27834.600254999994</v>
      </c>
      <c r="BE174" s="125">
        <f>AI174*Valores!$C$85</f>
        <v>42944.811821999981</v>
      </c>
      <c r="BF174" s="125">
        <f>AI174*Valores!$C$84</f>
        <v>4771.6457579999988</v>
      </c>
      <c r="BG174" s="126"/>
      <c r="BH174" s="126">
        <v>45</v>
      </c>
      <c r="BI174" s="123" t="s">
        <v>4</v>
      </c>
    </row>
    <row r="175" spans="1:61" s="110" customFormat="1" ht="11.25" customHeight="1" x14ac:dyDescent="0.15">
      <c r="A175" s="123" t="s">
        <v>433</v>
      </c>
      <c r="B175" s="123">
        <v>1</v>
      </c>
      <c r="C175" s="126">
        <v>168</v>
      </c>
      <c r="D175" s="124" t="s">
        <v>434</v>
      </c>
      <c r="E175" s="192">
        <v>160</v>
      </c>
      <c r="F175" s="125">
        <f>ROUND(E175*Valores!$C$2,2)</f>
        <v>12415.47</v>
      </c>
      <c r="G175" s="192">
        <f>1484</f>
        <v>1484</v>
      </c>
      <c r="H175" s="125">
        <f>ROUND(G175*Valores!$C$2,2)</f>
        <v>115153.5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100875.71</v>
      </c>
      <c r="M175" s="125">
        <f>ROUND(IF($H$2=0,IF(AND(A175&lt;&gt;"13-930",A175&lt;&gt;"13-940"),(SUM(F175,H175,J175,L175,X175,T175,R175)*Valores!$C$4),0),0),2)</f>
        <v>76704.83</v>
      </c>
      <c r="N175" s="125">
        <f t="shared" si="21"/>
        <v>0</v>
      </c>
      <c r="O175" s="125">
        <f>Valores!$C$9</f>
        <v>97503.47</v>
      </c>
      <c r="P175" s="125">
        <f>Valores!$D$5</f>
        <v>39667.43</v>
      </c>
      <c r="Q175" s="125">
        <f>Valores!$C$22</f>
        <v>35387.42</v>
      </c>
      <c r="R175" s="125">
        <f>IF($F$4="NO",Valores!$C$48,Valores!$C$48/2)</f>
        <v>41465.839999999997</v>
      </c>
      <c r="S175" s="125">
        <f>Valores!$C$19</f>
        <v>36908.81</v>
      </c>
      <c r="T175" s="125">
        <f t="shared" si="28"/>
        <v>36908.81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Valores!$C$98</f>
        <v>108631.74</v>
      </c>
      <c r="AA175" s="125">
        <f>Valores!$C$25</f>
        <v>1622.32</v>
      </c>
      <c r="AB175" s="214">
        <v>0</v>
      </c>
      <c r="AC175" s="125">
        <f t="shared" si="22"/>
        <v>0</v>
      </c>
      <c r="AD175" s="125">
        <f>Valores!$C$26</f>
        <v>1622.32</v>
      </c>
      <c r="AE175" s="192">
        <v>0</v>
      </c>
      <c r="AF175" s="125">
        <f>ROUND(AE175*Valores!$C$2,2)</f>
        <v>0</v>
      </c>
      <c r="AG175" s="125">
        <f>ROUND(IF($F$4="NO",Valores!$C$64,Valores!$C$64/2),2)</f>
        <v>18547.32</v>
      </c>
      <c r="AH175" s="125">
        <f>SUM(F175,H175,J175,L175,M175,N175,O175,P175,Q175,R175,T175,U175,V175,X175,Y175,Z175,AA175,AC175,AD175,AF175,AG175)*Valores!$C$104</f>
        <v>68650.617999999988</v>
      </c>
      <c r="AI175" s="125">
        <f t="shared" si="25"/>
        <v>755156.79799999984</v>
      </c>
      <c r="AJ175" s="125">
        <f>Valores!$C$32</f>
        <v>70000</v>
      </c>
      <c r="AK175" s="125">
        <v>0</v>
      </c>
      <c r="AL175" s="125">
        <f>Valores!$C$91</f>
        <v>0</v>
      </c>
      <c r="AM175" s="125">
        <f>Valores!C$39*B175</f>
        <v>0</v>
      </c>
      <c r="AN175" s="125">
        <f>IF($F$3="NO",0,Valores!$C$56)</f>
        <v>0</v>
      </c>
      <c r="AO175" s="125">
        <f t="shared" si="23"/>
        <v>70000</v>
      </c>
      <c r="AP175" s="125">
        <f>AI175*Valores!$C$72</f>
        <v>-83067.247779999976</v>
      </c>
      <c r="AQ175" s="125">
        <f>IF(AI175&lt;Valores!$E$73,-0.02,IF(AI175&lt;Valores!$F$73,-0.03,-0.04))*AI175</f>
        <v>-22654.703939999996</v>
      </c>
      <c r="AR175" s="125">
        <f>AI175*Valores!$C$75</f>
        <v>-41533.623889999988</v>
      </c>
      <c r="AS175" s="125">
        <f>Valores!$C$102</f>
        <v>-1270.1600000000001</v>
      </c>
      <c r="AT175" s="125">
        <f>IF($F$5=0,Valores!$C$103,(Valores!$C$103+$F$5*(Valores!$C$103)))</f>
        <v>-3700</v>
      </c>
      <c r="AU175" s="125">
        <f t="shared" si="26"/>
        <v>672931.06238999986</v>
      </c>
      <c r="AV175" s="125">
        <f t="shared" si="20"/>
        <v>-83067.247779999976</v>
      </c>
      <c r="AW175" s="125">
        <f t="shared" si="27"/>
        <v>-22654.703939999996</v>
      </c>
      <c r="AX175" s="125">
        <f>AI175*Valores!$C$76</f>
        <v>-20389.233545999996</v>
      </c>
      <c r="AY175" s="125">
        <f>AI175*Valores!$C$77</f>
        <v>-2265.4703939999995</v>
      </c>
      <c r="AZ175" s="125">
        <f t="shared" si="24"/>
        <v>696780.1423399999</v>
      </c>
      <c r="BA175" s="125">
        <f>AI175*Valores!$C$79</f>
        <v>120825.08767999998</v>
      </c>
      <c r="BB175" s="125">
        <f>AI175*Valores!$C$80</f>
        <v>52860.975859999991</v>
      </c>
      <c r="BC175" s="125">
        <f>AI175*Valores!$C$81</f>
        <v>7551.5679799999989</v>
      </c>
      <c r="BD175" s="125">
        <f>AI175*Valores!$C$83</f>
        <v>26430.487929999996</v>
      </c>
      <c r="BE175" s="125">
        <f>AI175*Valores!$C$85</f>
        <v>40778.467091999992</v>
      </c>
      <c r="BF175" s="125">
        <f>AI175*Valores!$C$84</f>
        <v>4530.940787999999</v>
      </c>
      <c r="BG175" s="126"/>
      <c r="BH175" s="126">
        <v>45</v>
      </c>
      <c r="BI175" s="123" t="s">
        <v>4</v>
      </c>
    </row>
    <row r="176" spans="1:61" s="110" customFormat="1" ht="11.25" customHeight="1" x14ac:dyDescent="0.15">
      <c r="A176" s="123" t="s">
        <v>435</v>
      </c>
      <c r="B176" s="123">
        <v>1</v>
      </c>
      <c r="C176" s="126">
        <v>169</v>
      </c>
      <c r="D176" s="124" t="s">
        <v>436</v>
      </c>
      <c r="E176" s="192">
        <v>178</v>
      </c>
      <c r="F176" s="125">
        <f>ROUND(E176*Valores!$C$2,2)</f>
        <v>13812.21</v>
      </c>
      <c r="G176" s="192">
        <f>1842</f>
        <v>1842</v>
      </c>
      <c r="H176" s="125">
        <f>ROUND(G176*Valores!$C$2,2)</f>
        <v>142933.12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100875.71</v>
      </c>
      <c r="M176" s="125">
        <f>ROUND(IF($H$2=0,IF(AND(A176&lt;&gt;"13-930",A176&lt;&gt;"13-940"),(SUM(F176,H176,J176,L176,X176,T176,R176)*Valores!$C$4),0),0),2)</f>
        <v>83998.92</v>
      </c>
      <c r="N176" s="125">
        <f t="shared" si="21"/>
        <v>0</v>
      </c>
      <c r="O176" s="125">
        <f>Valores!$C$9</f>
        <v>97503.47</v>
      </c>
      <c r="P176" s="125">
        <f>Valores!$D$5</f>
        <v>39667.43</v>
      </c>
      <c r="Q176" s="125">
        <f>Valores!$C$22</f>
        <v>35387.42</v>
      </c>
      <c r="R176" s="125">
        <f>IF($F$4="NO",Valores!$C$48,Valores!$C$48/2)</f>
        <v>41465.839999999997</v>
      </c>
      <c r="S176" s="125">
        <f>Valores!$C$19</f>
        <v>36908.81</v>
      </c>
      <c r="T176" s="125">
        <f t="shared" si="28"/>
        <v>36908.81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Valores!$C$98</f>
        <v>108631.74</v>
      </c>
      <c r="AA176" s="125">
        <f>Valores!$C$25</f>
        <v>1622.32</v>
      </c>
      <c r="AB176" s="214">
        <v>0</v>
      </c>
      <c r="AC176" s="125">
        <f t="shared" si="22"/>
        <v>0</v>
      </c>
      <c r="AD176" s="125">
        <f>Valores!$C$26</f>
        <v>1622.32</v>
      </c>
      <c r="AE176" s="192">
        <v>0</v>
      </c>
      <c r="AF176" s="125">
        <f>ROUND(AE176*Valores!$C$2,2)</f>
        <v>0</v>
      </c>
      <c r="AG176" s="125">
        <f>ROUND(IF($F$4="NO",Valores!$C$64,Valores!$C$64/2),2)</f>
        <v>18547.32</v>
      </c>
      <c r="AH176" s="125">
        <f>SUM(F176,H176,J176,L176,M176,N176,O176,P176,Q176,R176,T176,U176,V176,X176,Y176,Z176,AA176,AC176,AD176,AF176,AG176)*Valores!$C$104</f>
        <v>72297.662999999986</v>
      </c>
      <c r="AI176" s="125">
        <f t="shared" si="25"/>
        <v>795274.29299999971</v>
      </c>
      <c r="AJ176" s="125">
        <f>Valores!$C$32</f>
        <v>70000</v>
      </c>
      <c r="AK176" s="125">
        <v>0</v>
      </c>
      <c r="AL176" s="125">
        <f>Valores!$C$91</f>
        <v>0</v>
      </c>
      <c r="AM176" s="125">
        <f>Valores!C$39*B176</f>
        <v>0</v>
      </c>
      <c r="AN176" s="125">
        <f>IF($F$3="NO",0,Valores!$C$56)</f>
        <v>0</v>
      </c>
      <c r="AO176" s="125">
        <f t="shared" si="23"/>
        <v>70000</v>
      </c>
      <c r="AP176" s="125">
        <f>AI176*Valores!$C$72</f>
        <v>-87480.172229999967</v>
      </c>
      <c r="AQ176" s="125">
        <f>IF(AI176&lt;Valores!$E$73,-0.02,IF(AI176&lt;Valores!$F$73,-0.03,-0.04))*AI176</f>
        <v>-23858.22878999999</v>
      </c>
      <c r="AR176" s="125">
        <f>AI176*Valores!$C$75</f>
        <v>-43740.086114999984</v>
      </c>
      <c r="AS176" s="125">
        <f>Valores!$C$102</f>
        <v>-1270.1600000000001</v>
      </c>
      <c r="AT176" s="125">
        <f>IF($F$5=0,Valores!$C$103,(Valores!$C$103+$F$5*(Valores!$C$103)))</f>
        <v>-3700</v>
      </c>
      <c r="AU176" s="125">
        <f t="shared" si="26"/>
        <v>705225.64586499974</v>
      </c>
      <c r="AV176" s="125">
        <f t="shared" si="20"/>
        <v>-87480.172229999967</v>
      </c>
      <c r="AW176" s="125">
        <f t="shared" si="27"/>
        <v>-23858.22878999999</v>
      </c>
      <c r="AX176" s="125">
        <f>AI176*Valores!$C$76</f>
        <v>-21472.405910999991</v>
      </c>
      <c r="AY176" s="125">
        <f>AI176*Valores!$C$77</f>
        <v>-2385.8228789999994</v>
      </c>
      <c r="AZ176" s="125">
        <f t="shared" si="24"/>
        <v>730077.66318999976</v>
      </c>
      <c r="BA176" s="125">
        <f>AI176*Valores!$C$79</f>
        <v>127243.88687999996</v>
      </c>
      <c r="BB176" s="125">
        <f>AI176*Valores!$C$80</f>
        <v>55669.200509999988</v>
      </c>
      <c r="BC176" s="125">
        <f>AI176*Valores!$C$81</f>
        <v>7952.7429299999976</v>
      </c>
      <c r="BD176" s="125">
        <f>AI176*Valores!$C$83</f>
        <v>27834.600254999994</v>
      </c>
      <c r="BE176" s="125">
        <f>AI176*Valores!$C$85</f>
        <v>42944.811821999981</v>
      </c>
      <c r="BF176" s="125">
        <f>AI176*Valores!$C$84</f>
        <v>4771.6457579999988</v>
      </c>
      <c r="BG176" s="126"/>
      <c r="BH176" s="126">
        <v>45</v>
      </c>
      <c r="BI176" s="123" t="s">
        <v>4</v>
      </c>
    </row>
    <row r="177" spans="1:61" s="110" customFormat="1" ht="11.25" customHeight="1" x14ac:dyDescent="0.15">
      <c r="A177" s="123" t="s">
        <v>437</v>
      </c>
      <c r="B177" s="123">
        <v>1</v>
      </c>
      <c r="C177" s="126">
        <v>170</v>
      </c>
      <c r="D177" s="124" t="s">
        <v>438</v>
      </c>
      <c r="E177" s="192">
        <v>1278</v>
      </c>
      <c r="F177" s="125">
        <f>ROUND(E177*Valores!$C$2,2)</f>
        <v>99168.58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93116.04</v>
      </c>
      <c r="M177" s="125">
        <f>ROUND(IF($H$2=0,IF(AND(A177&lt;&gt;"13-930",A177&lt;&gt;"13-940"),(SUM(F177,H177,J177,L177,X177,T177,R177)*Valores!$C$4),0),0),2)</f>
        <v>67664.820000000007</v>
      </c>
      <c r="N177" s="125">
        <f t="shared" si="21"/>
        <v>0</v>
      </c>
      <c r="O177" s="125">
        <f>Valores!$C$16</f>
        <v>67049.36</v>
      </c>
      <c r="P177" s="125">
        <f>Valores!$D$5</f>
        <v>39667.43</v>
      </c>
      <c r="Q177" s="125">
        <f>Valores!$C$22</f>
        <v>35387.42</v>
      </c>
      <c r="R177" s="125">
        <f>IF($F$4="NO",Valores!$C$48,Valores!$C$48/2)</f>
        <v>41465.839999999997</v>
      </c>
      <c r="S177" s="125">
        <f>Valores!$C$19</f>
        <v>36908.81</v>
      </c>
      <c r="T177" s="125">
        <f t="shared" si="28"/>
        <v>36908.81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Valores!$C$98</f>
        <v>108631.74</v>
      </c>
      <c r="AA177" s="125">
        <f>Valores!$C$25</f>
        <v>1622.32</v>
      </c>
      <c r="AB177" s="214">
        <v>0</v>
      </c>
      <c r="AC177" s="125">
        <f t="shared" si="22"/>
        <v>0</v>
      </c>
      <c r="AD177" s="125">
        <f>Valores!$C$26</f>
        <v>1622.32</v>
      </c>
      <c r="AE177" s="192">
        <v>0</v>
      </c>
      <c r="AF177" s="125">
        <f>ROUND(AE177*Valores!$C$2,2)</f>
        <v>0</v>
      </c>
      <c r="AG177" s="125">
        <f>ROUND(IF($F$4="NO",Valores!$C$64,Valores!$C$64/2),2)</f>
        <v>18547.32</v>
      </c>
      <c r="AH177" s="125">
        <f>SUM(F177,H177,J177,L177,M177,N177,O177,P177,Q177,R177,T177,U177,V177,X177,Y177,Z177,AA177,AC177,AD177,AF177,AG177)*Valores!$C$104</f>
        <v>61085.19999999999</v>
      </c>
      <c r="AI177" s="125">
        <f t="shared" si="25"/>
        <v>671937.19999999984</v>
      </c>
      <c r="AJ177" s="125">
        <f>Valores!$C$32</f>
        <v>70000</v>
      </c>
      <c r="AK177" s="125">
        <v>0</v>
      </c>
      <c r="AL177" s="125">
        <f>Valores!$C$91</f>
        <v>0</v>
      </c>
      <c r="AM177" s="125">
        <f>Valores!C$39*B177</f>
        <v>0</v>
      </c>
      <c r="AN177" s="125">
        <f>IF($F$3="NO",0,Valores!$C$56)</f>
        <v>0</v>
      </c>
      <c r="AO177" s="125">
        <f t="shared" si="23"/>
        <v>70000</v>
      </c>
      <c r="AP177" s="125">
        <f>AI177*Valores!$C$72</f>
        <v>-73913.09199999999</v>
      </c>
      <c r="AQ177" s="125">
        <f>IF(AI177&lt;Valores!$E$73,-0.02,IF(AI177&lt;Valores!$F$73,-0.03,-0.04))*AI177</f>
        <v>-13438.743999999997</v>
      </c>
      <c r="AR177" s="125">
        <f>AI177*Valores!$C$75</f>
        <v>-36956.545999999995</v>
      </c>
      <c r="AS177" s="125">
        <f>Valores!$C$102</f>
        <v>-1270.1600000000001</v>
      </c>
      <c r="AT177" s="125">
        <f>IF($F$5=0,Valores!$C$103,(Valores!$C$103+$F$5*(Valores!$C$103)))</f>
        <v>-3700</v>
      </c>
      <c r="AU177" s="125">
        <f t="shared" si="26"/>
        <v>612658.65799999982</v>
      </c>
      <c r="AV177" s="125">
        <f t="shared" si="20"/>
        <v>-73913.09199999999</v>
      </c>
      <c r="AW177" s="125">
        <f t="shared" si="27"/>
        <v>-13438.743999999997</v>
      </c>
      <c r="AX177" s="125">
        <f>AI177*Valores!$C$76</f>
        <v>-18142.304399999994</v>
      </c>
      <c r="AY177" s="125">
        <f>AI177*Valores!$C$77</f>
        <v>-2015.8115999999995</v>
      </c>
      <c r="AZ177" s="125">
        <f t="shared" si="24"/>
        <v>634427.24799999991</v>
      </c>
      <c r="BA177" s="125">
        <f>AI177*Valores!$C$79</f>
        <v>107509.95199999998</v>
      </c>
      <c r="BB177" s="125">
        <f>AI177*Valores!$C$80</f>
        <v>47035.603999999992</v>
      </c>
      <c r="BC177" s="125">
        <f>AI177*Valores!$C$81</f>
        <v>6719.3719999999985</v>
      </c>
      <c r="BD177" s="125">
        <f>AI177*Valores!$C$83</f>
        <v>23517.801999999996</v>
      </c>
      <c r="BE177" s="125">
        <f>AI177*Valores!$C$85</f>
        <v>36284.608799999987</v>
      </c>
      <c r="BF177" s="125">
        <f>AI177*Valores!$C$84</f>
        <v>4031.6231999999991</v>
      </c>
      <c r="BG177" s="126"/>
      <c r="BH177" s="126"/>
      <c r="BI177" s="123" t="s">
        <v>4</v>
      </c>
    </row>
    <row r="178" spans="1:61" s="110" customFormat="1" ht="11.25" customHeight="1" x14ac:dyDescent="0.15">
      <c r="A178" s="123" t="s">
        <v>439</v>
      </c>
      <c r="B178" s="123">
        <v>1</v>
      </c>
      <c r="C178" s="126">
        <v>171</v>
      </c>
      <c r="D178" s="124" t="s">
        <v>440</v>
      </c>
      <c r="E178" s="192">
        <v>971</v>
      </c>
      <c r="F178" s="125">
        <f>ROUND(E178*Valores!$C$2,2)</f>
        <v>75346.399999999994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51213.82</v>
      </c>
      <c r="M178" s="125">
        <f>ROUND(IF($H$2=0,IF(AND(A178&lt;&gt;"13-930",A178&lt;&gt;"13-940"),(SUM(F178,H178,J178,L178,X178,T178,R178)*Valores!$C$4),0),0),2)</f>
        <v>51233.72</v>
      </c>
      <c r="N178" s="125">
        <f t="shared" si="21"/>
        <v>0</v>
      </c>
      <c r="O178" s="125">
        <f>Valores!$C$16</f>
        <v>67049.36</v>
      </c>
      <c r="P178" s="125">
        <f>Valores!$D$5</f>
        <v>39667.43</v>
      </c>
      <c r="Q178" s="125">
        <f>Valores!$C$22</f>
        <v>35387.42</v>
      </c>
      <c r="R178" s="125">
        <f>IF($F$4="NO",Valores!$C$48,Valores!$C$48/2)</f>
        <v>41465.839999999997</v>
      </c>
      <c r="S178" s="125">
        <f>Valores!$C$19</f>
        <v>36908.81</v>
      </c>
      <c r="T178" s="125">
        <f t="shared" si="28"/>
        <v>36908.81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Valores!$C$98</f>
        <v>108631.74</v>
      </c>
      <c r="AA178" s="125">
        <f>Valores!$C$25</f>
        <v>1622.32</v>
      </c>
      <c r="AB178" s="214">
        <v>0</v>
      </c>
      <c r="AC178" s="125">
        <f t="shared" si="22"/>
        <v>0</v>
      </c>
      <c r="AD178" s="125">
        <f>Valores!$C$26</f>
        <v>1622.32</v>
      </c>
      <c r="AE178" s="192">
        <v>0</v>
      </c>
      <c r="AF178" s="125">
        <f>ROUND(AE178*Valores!$C$2,2)</f>
        <v>0</v>
      </c>
      <c r="AG178" s="125">
        <f>ROUND(IF($F$4="NO",Valores!$C$64,Valores!$C$64/2),2)</f>
        <v>18547.32</v>
      </c>
      <c r="AH178" s="125">
        <f>SUM(F178,H178,J178,L178,M178,N178,O178,P178,Q178,R178,T178,U178,V178,X178,Y178,Z178,AA178,AC178,AD178,AF178,AG178)*Valores!$C$104</f>
        <v>52869.65</v>
      </c>
      <c r="AI178" s="125">
        <f t="shared" si="25"/>
        <v>581566.15</v>
      </c>
      <c r="AJ178" s="125">
        <f>Valores!$C$31</f>
        <v>35000</v>
      </c>
      <c r="AK178" s="125">
        <v>0</v>
      </c>
      <c r="AL178" s="125">
        <f>Valores!$C$91</f>
        <v>0</v>
      </c>
      <c r="AM178" s="125">
        <f>Valores!C$39*B178</f>
        <v>0</v>
      </c>
      <c r="AN178" s="125">
        <f>IF($F$3="NO",0,Valores!$C$56)</f>
        <v>0</v>
      </c>
      <c r="AO178" s="125">
        <f t="shared" si="23"/>
        <v>35000</v>
      </c>
      <c r="AP178" s="125">
        <f>AI178*Valores!$C$72</f>
        <v>-63972.2765</v>
      </c>
      <c r="AQ178" s="125">
        <f>IF(AI178&lt;Valores!$E$73,-0.02,IF(AI178&lt;Valores!$F$73,-0.03,-0.04))*AI178</f>
        <v>-11631.323</v>
      </c>
      <c r="AR178" s="125">
        <f>AI178*Valores!$C$75</f>
        <v>-31986.13825</v>
      </c>
      <c r="AS178" s="125">
        <f>Valores!$C$102</f>
        <v>-1270.1600000000001</v>
      </c>
      <c r="AT178" s="125">
        <f>IF($F$5=0,Valores!$C$103,(Valores!$C$103+$F$5*(Valores!$C$103)))</f>
        <v>-3700</v>
      </c>
      <c r="AU178" s="125">
        <f t="shared" si="26"/>
        <v>504006.25225000002</v>
      </c>
      <c r="AV178" s="125">
        <f t="shared" si="20"/>
        <v>-63972.2765</v>
      </c>
      <c r="AW178" s="125">
        <f t="shared" si="27"/>
        <v>-11631.323</v>
      </c>
      <c r="AX178" s="125">
        <f>AI178*Valores!$C$76</f>
        <v>-15702.286050000001</v>
      </c>
      <c r="AY178" s="125">
        <f>AI178*Valores!$C$77</f>
        <v>-1744.6984500000001</v>
      </c>
      <c r="AZ178" s="125">
        <f t="shared" si="24"/>
        <v>523515.56600000005</v>
      </c>
      <c r="BA178" s="125">
        <f>AI178*Valores!$C$79</f>
        <v>93050.584000000003</v>
      </c>
      <c r="BB178" s="125">
        <f>AI178*Valores!$C$80</f>
        <v>40709.630500000007</v>
      </c>
      <c r="BC178" s="125">
        <f>AI178*Valores!$C$81</f>
        <v>5815.6615000000002</v>
      </c>
      <c r="BD178" s="125">
        <f>AI178*Valores!$C$83</f>
        <v>20354.815250000003</v>
      </c>
      <c r="BE178" s="125">
        <f>AI178*Valores!$C$85</f>
        <v>31404.572100000001</v>
      </c>
      <c r="BF178" s="125">
        <f>AI178*Valores!$C$84</f>
        <v>3489.3969000000002</v>
      </c>
      <c r="BG178" s="126"/>
      <c r="BH178" s="126">
        <v>18</v>
      </c>
      <c r="BI178" s="123" t="s">
        <v>4</v>
      </c>
    </row>
    <row r="179" spans="1:61" s="110" customFormat="1" ht="11.25" customHeight="1" x14ac:dyDescent="0.15">
      <c r="A179" s="123" t="s">
        <v>441</v>
      </c>
      <c r="B179" s="123">
        <v>1</v>
      </c>
      <c r="C179" s="126">
        <v>172</v>
      </c>
      <c r="D179" s="124" t="s">
        <v>442</v>
      </c>
      <c r="E179" s="192">
        <v>213</v>
      </c>
      <c r="F179" s="125">
        <f>ROUND(E179*Valores!$C$2,2)</f>
        <v>16528.099999999999</v>
      </c>
      <c r="G179" s="192">
        <f>1835</f>
        <v>1835</v>
      </c>
      <c r="H179" s="125">
        <f>ROUND(G179*Valores!$C$2,2)</f>
        <v>142389.94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100875.71</v>
      </c>
      <c r="M179" s="125">
        <f>ROUND(IF($H$2=0,IF(AND(A179&lt;&gt;"13-930",A179&lt;&gt;"13-940"),(SUM(F179,H179,J179,L179,X179,T179,R179)*Valores!$C$4),0),0),2)</f>
        <v>84542.1</v>
      </c>
      <c r="N179" s="125">
        <f t="shared" si="21"/>
        <v>0</v>
      </c>
      <c r="O179" s="125">
        <f>Valores!$C$9</f>
        <v>97503.47</v>
      </c>
      <c r="P179" s="125">
        <f>Valores!$D$5</f>
        <v>39667.43</v>
      </c>
      <c r="Q179" s="125">
        <f>Valores!$C$22</f>
        <v>35387.42</v>
      </c>
      <c r="R179" s="125">
        <f>IF($F$4="NO",Valores!$C$48,Valores!$C$48/2)</f>
        <v>41465.839999999997</v>
      </c>
      <c r="S179" s="125">
        <f>Valores!$C$19</f>
        <v>36908.81</v>
      </c>
      <c r="T179" s="125">
        <f t="shared" si="28"/>
        <v>36908.81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Valores!$C$98</f>
        <v>108631.74</v>
      </c>
      <c r="AA179" s="125">
        <f>Valores!$C$25</f>
        <v>1622.32</v>
      </c>
      <c r="AB179" s="214">
        <v>0</v>
      </c>
      <c r="AC179" s="125">
        <f t="shared" si="22"/>
        <v>0</v>
      </c>
      <c r="AD179" s="125">
        <f>Valores!$C$26</f>
        <v>1622.32</v>
      </c>
      <c r="AE179" s="192">
        <v>0</v>
      </c>
      <c r="AF179" s="125">
        <f>ROUND(AE179*Valores!$C$2,2)</f>
        <v>0</v>
      </c>
      <c r="AG179" s="125">
        <f>ROUND(IF($F$4="NO",Valores!$C$64,Valores!$C$64/2),2)</f>
        <v>18547.32</v>
      </c>
      <c r="AH179" s="125">
        <f>SUM(F179,H179,J179,L179,M179,N179,O179,P179,Q179,R179,T179,U179,V179,X179,Y179,Z179,AA179,AC179,AD179,AF179,AG179)*Valores!$C$104</f>
        <v>72569.251999999964</v>
      </c>
      <c r="AI179" s="125">
        <f t="shared" si="25"/>
        <v>798261.77199999965</v>
      </c>
      <c r="AJ179" s="125">
        <f>Valores!$C$32</f>
        <v>70000</v>
      </c>
      <c r="AK179" s="125">
        <v>0</v>
      </c>
      <c r="AL179" s="125">
        <f>Valores!$C$91</f>
        <v>0</v>
      </c>
      <c r="AM179" s="125">
        <f>Valores!C$39*B179</f>
        <v>0</v>
      </c>
      <c r="AN179" s="125">
        <f>IF($F$3="NO",0,Valores!$C$56)</f>
        <v>0</v>
      </c>
      <c r="AO179" s="125">
        <f t="shared" si="23"/>
        <v>70000</v>
      </c>
      <c r="AP179" s="125">
        <f>AI179*Valores!$C$72</f>
        <v>-87808.794919999957</v>
      </c>
      <c r="AQ179" s="125">
        <f>IF(AI179&lt;Valores!$E$73,-0.02,IF(AI179&lt;Valores!$F$73,-0.03,-0.04))*AI179</f>
        <v>-23947.853159999988</v>
      </c>
      <c r="AR179" s="125">
        <f>AI179*Valores!$C$75</f>
        <v>-43904.397459999978</v>
      </c>
      <c r="AS179" s="125">
        <f>Valores!$C$102</f>
        <v>-1270.1600000000001</v>
      </c>
      <c r="AT179" s="125">
        <f>IF($F$5=0,Valores!$C$103,(Valores!$C$103+$F$5*(Valores!$C$103)))</f>
        <v>-3700</v>
      </c>
      <c r="AU179" s="125">
        <f t="shared" si="26"/>
        <v>707630.56645999977</v>
      </c>
      <c r="AV179" s="125">
        <f t="shared" si="20"/>
        <v>-87808.794919999957</v>
      </c>
      <c r="AW179" s="125">
        <f t="shared" si="27"/>
        <v>-23947.853159999988</v>
      </c>
      <c r="AX179" s="125">
        <f>AI179*Valores!$C$76</f>
        <v>-21553.06784399999</v>
      </c>
      <c r="AY179" s="125">
        <f>AI179*Valores!$C$77</f>
        <v>-2394.7853159999991</v>
      </c>
      <c r="AZ179" s="125">
        <f t="shared" si="24"/>
        <v>732557.27075999975</v>
      </c>
      <c r="BA179" s="125">
        <f>AI179*Valores!$C$79</f>
        <v>127721.88351999994</v>
      </c>
      <c r="BB179" s="125">
        <f>AI179*Valores!$C$80</f>
        <v>55878.324039999978</v>
      </c>
      <c r="BC179" s="125">
        <f>AI179*Valores!$C$81</f>
        <v>7982.6177199999966</v>
      </c>
      <c r="BD179" s="125">
        <f>AI179*Valores!$C$83</f>
        <v>27939.162019999989</v>
      </c>
      <c r="BE179" s="125">
        <f>AI179*Valores!$C$85</f>
        <v>43106.13568799998</v>
      </c>
      <c r="BF179" s="125">
        <f>AI179*Valores!$C$84</f>
        <v>4789.5706319999981</v>
      </c>
      <c r="BG179" s="126"/>
      <c r="BH179" s="126">
        <v>45</v>
      </c>
      <c r="BI179" s="123" t="s">
        <v>4</v>
      </c>
    </row>
    <row r="180" spans="1:61" s="110" customFormat="1" ht="11.25" customHeight="1" x14ac:dyDescent="0.15">
      <c r="A180" s="123" t="s">
        <v>443</v>
      </c>
      <c r="B180" s="123">
        <v>1</v>
      </c>
      <c r="C180" s="126">
        <v>173</v>
      </c>
      <c r="D180" s="124" t="s">
        <v>444</v>
      </c>
      <c r="E180" s="192">
        <v>185</v>
      </c>
      <c r="F180" s="125">
        <f>ROUND(E180*Valores!$C$2,2)</f>
        <v>14355.39</v>
      </c>
      <c r="G180" s="192">
        <f>1835</f>
        <v>1835</v>
      </c>
      <c r="H180" s="125">
        <f>ROUND(G180*Valores!$C$2,2)</f>
        <v>142389.94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100875.71</v>
      </c>
      <c r="M180" s="125">
        <f>ROUND(IF($H$2=0,IF(AND(A180&lt;&gt;"13-930",A180&lt;&gt;"13-940"),(SUM(F180,H180,J180,L180,X180,T180,R180)*Valores!$C$4),0),0),2)</f>
        <v>83998.92</v>
      </c>
      <c r="N180" s="125">
        <f t="shared" si="21"/>
        <v>0</v>
      </c>
      <c r="O180" s="125">
        <f>Valores!$C$9</f>
        <v>97503.47</v>
      </c>
      <c r="P180" s="125">
        <f>Valores!$D$5</f>
        <v>39667.43</v>
      </c>
      <c r="Q180" s="125">
        <f>Valores!$C$22</f>
        <v>35387.42</v>
      </c>
      <c r="R180" s="125">
        <f>IF($F$4="NO",Valores!$C$48,Valores!$C$48/2)</f>
        <v>41465.839999999997</v>
      </c>
      <c r="S180" s="125">
        <f>Valores!$C$19</f>
        <v>36908.81</v>
      </c>
      <c r="T180" s="125">
        <f t="shared" si="28"/>
        <v>36908.81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Valores!$C$98</f>
        <v>108631.74</v>
      </c>
      <c r="AA180" s="125">
        <f>Valores!$C$25</f>
        <v>1622.32</v>
      </c>
      <c r="AB180" s="214">
        <v>0</v>
      </c>
      <c r="AC180" s="125">
        <f t="shared" si="22"/>
        <v>0</v>
      </c>
      <c r="AD180" s="125">
        <f>Valores!$C$26</f>
        <v>1622.32</v>
      </c>
      <c r="AE180" s="192">
        <v>0</v>
      </c>
      <c r="AF180" s="125">
        <f>ROUND(AE180*Valores!$C$2,2)</f>
        <v>0</v>
      </c>
      <c r="AG180" s="125">
        <f>ROUND(IF($F$4="NO",Valores!$C$64,Valores!$C$64/2),2)</f>
        <v>18547.32</v>
      </c>
      <c r="AH180" s="125">
        <f>SUM(F180,H180,J180,L180,M180,N180,O180,P180,Q180,R180,T180,U180,V180,X180,Y180,Z180,AA180,AC180,AD180,AF180,AG180)*Valores!$C$104</f>
        <v>72297.662999999986</v>
      </c>
      <c r="AI180" s="125">
        <f t="shared" si="25"/>
        <v>795274.29299999971</v>
      </c>
      <c r="AJ180" s="125">
        <f>Valores!$C$32</f>
        <v>70000</v>
      </c>
      <c r="AK180" s="125">
        <v>0</v>
      </c>
      <c r="AL180" s="125">
        <f>Valores!$C$91</f>
        <v>0</v>
      </c>
      <c r="AM180" s="125">
        <f>Valores!C$39*B180</f>
        <v>0</v>
      </c>
      <c r="AN180" s="125">
        <f>IF($F$3="NO",0,Valores!$C$56)</f>
        <v>0</v>
      </c>
      <c r="AO180" s="125">
        <f t="shared" si="23"/>
        <v>70000</v>
      </c>
      <c r="AP180" s="125">
        <f>AI180*Valores!$C$72</f>
        <v>-87480.172229999967</v>
      </c>
      <c r="AQ180" s="125">
        <f>IF(AI180&lt;Valores!$E$73,-0.02,IF(AI180&lt;Valores!$F$73,-0.03,-0.04))*AI180</f>
        <v>-23858.22878999999</v>
      </c>
      <c r="AR180" s="125">
        <f>AI180*Valores!$C$75</f>
        <v>-43740.086114999984</v>
      </c>
      <c r="AS180" s="125">
        <f>Valores!$C$102</f>
        <v>-1270.1600000000001</v>
      </c>
      <c r="AT180" s="125">
        <f>IF($F$5=0,Valores!$C$103,(Valores!$C$103+$F$5*(Valores!$C$103)))</f>
        <v>-3700</v>
      </c>
      <c r="AU180" s="125">
        <f t="shared" si="26"/>
        <v>705225.64586499974</v>
      </c>
      <c r="AV180" s="125">
        <f t="shared" si="20"/>
        <v>-87480.172229999967</v>
      </c>
      <c r="AW180" s="125">
        <f t="shared" si="27"/>
        <v>-23858.22878999999</v>
      </c>
      <c r="AX180" s="125">
        <f>AI180*Valores!$C$76</f>
        <v>-21472.405910999991</v>
      </c>
      <c r="AY180" s="125">
        <f>AI180*Valores!$C$77</f>
        <v>-2385.8228789999994</v>
      </c>
      <c r="AZ180" s="125">
        <f t="shared" si="24"/>
        <v>730077.66318999976</v>
      </c>
      <c r="BA180" s="125">
        <f>AI180*Valores!$C$79</f>
        <v>127243.88687999996</v>
      </c>
      <c r="BB180" s="125">
        <f>AI180*Valores!$C$80</f>
        <v>55669.200509999988</v>
      </c>
      <c r="BC180" s="125">
        <f>AI180*Valores!$C$81</f>
        <v>7952.7429299999976</v>
      </c>
      <c r="BD180" s="125">
        <f>AI180*Valores!$C$83</f>
        <v>27834.600254999994</v>
      </c>
      <c r="BE180" s="125">
        <f>AI180*Valores!$C$85</f>
        <v>42944.811821999981</v>
      </c>
      <c r="BF180" s="125">
        <f>AI180*Valores!$C$84</f>
        <v>4771.6457579999988</v>
      </c>
      <c r="BG180" s="126"/>
      <c r="BH180" s="126">
        <v>45</v>
      </c>
      <c r="BI180" s="123" t="s">
        <v>4</v>
      </c>
    </row>
    <row r="181" spans="1:61" s="110" customFormat="1" ht="11.25" customHeight="1" x14ac:dyDescent="0.15">
      <c r="A181" s="123" t="s">
        <v>445</v>
      </c>
      <c r="B181" s="123">
        <v>1</v>
      </c>
      <c r="C181" s="126">
        <v>174</v>
      </c>
      <c r="D181" s="124" t="s">
        <v>446</v>
      </c>
      <c r="E181" s="192">
        <v>160</v>
      </c>
      <c r="F181" s="125">
        <f>ROUND(E181*Valores!$C$2,2)</f>
        <v>12415.47</v>
      </c>
      <c r="G181" s="192">
        <f>1484</f>
        <v>1484</v>
      </c>
      <c r="H181" s="125">
        <f>ROUND(G181*Valores!$C$2,2)</f>
        <v>115153.5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100875.71</v>
      </c>
      <c r="M181" s="125">
        <f>ROUND(IF($H$2=0,IF(AND(A181&lt;&gt;"13-930",A181&lt;&gt;"13-940"),(SUM(F181,H181,J181,L181,X181,T181,R181)*Valores!$C$4),0),0),2)</f>
        <v>76704.83</v>
      </c>
      <c r="N181" s="125">
        <f t="shared" si="21"/>
        <v>0</v>
      </c>
      <c r="O181" s="125">
        <f>Valores!$C$9</f>
        <v>97503.47</v>
      </c>
      <c r="P181" s="125">
        <f>Valores!$D$5</f>
        <v>39667.43</v>
      </c>
      <c r="Q181" s="125">
        <f>Valores!$C$22</f>
        <v>35387.42</v>
      </c>
      <c r="R181" s="125">
        <f>IF($F$4="NO",Valores!$C$48,Valores!$C$48/2)</f>
        <v>41465.839999999997</v>
      </c>
      <c r="S181" s="125">
        <f>Valores!$C$19</f>
        <v>36908.81</v>
      </c>
      <c r="T181" s="125">
        <f t="shared" si="28"/>
        <v>36908.81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Valores!$C$98</f>
        <v>108631.74</v>
      </c>
      <c r="AA181" s="125">
        <f>Valores!$C$25</f>
        <v>1622.32</v>
      </c>
      <c r="AB181" s="214">
        <v>0</v>
      </c>
      <c r="AC181" s="125">
        <f t="shared" si="22"/>
        <v>0</v>
      </c>
      <c r="AD181" s="125">
        <f>Valores!$C$26</f>
        <v>1622.32</v>
      </c>
      <c r="AE181" s="192">
        <v>0</v>
      </c>
      <c r="AF181" s="125">
        <f>ROUND(AE181*Valores!$C$2,2)</f>
        <v>0</v>
      </c>
      <c r="AG181" s="125">
        <f>ROUND(IF($F$4="NO",Valores!$C$64,Valores!$C$64/2),2)</f>
        <v>18547.32</v>
      </c>
      <c r="AH181" s="125">
        <f>SUM(F181,H181,J181,L181,M181,N181,O181,P181,Q181,R181,T181,U181,V181,X181,Y181,Z181,AA181,AC181,AD181,AF181,AG181)*Valores!$C$104</f>
        <v>68650.617999999988</v>
      </c>
      <c r="AI181" s="125">
        <f t="shared" si="25"/>
        <v>755156.79799999984</v>
      </c>
      <c r="AJ181" s="125">
        <f>Valores!$C$32</f>
        <v>70000</v>
      </c>
      <c r="AK181" s="125">
        <v>0</v>
      </c>
      <c r="AL181" s="125">
        <f>Valores!$C$91</f>
        <v>0</v>
      </c>
      <c r="AM181" s="125">
        <f>Valores!C$39*B181</f>
        <v>0</v>
      </c>
      <c r="AN181" s="125">
        <f>IF($F$3="NO",0,Valores!$C$56)</f>
        <v>0</v>
      </c>
      <c r="AO181" s="125">
        <f t="shared" si="23"/>
        <v>70000</v>
      </c>
      <c r="AP181" s="125">
        <f>AI181*Valores!$C$72</f>
        <v>-83067.247779999976</v>
      </c>
      <c r="AQ181" s="125">
        <f>IF(AI181&lt;Valores!$E$73,-0.02,IF(AI181&lt;Valores!$F$73,-0.03,-0.04))*AI181</f>
        <v>-22654.703939999996</v>
      </c>
      <c r="AR181" s="125">
        <f>AI181*Valores!$C$75</f>
        <v>-41533.623889999988</v>
      </c>
      <c r="AS181" s="125">
        <f>Valores!$C$102</f>
        <v>-1270.1600000000001</v>
      </c>
      <c r="AT181" s="125">
        <f>IF($F$5=0,Valores!$C$103,(Valores!$C$103+$F$5*(Valores!$C$103)))</f>
        <v>-3700</v>
      </c>
      <c r="AU181" s="125">
        <f t="shared" si="26"/>
        <v>672931.06238999986</v>
      </c>
      <c r="AV181" s="125">
        <f t="shared" si="20"/>
        <v>-83067.247779999976</v>
      </c>
      <c r="AW181" s="125">
        <f t="shared" si="27"/>
        <v>-22654.703939999996</v>
      </c>
      <c r="AX181" s="125">
        <f>AI181*Valores!$C$76</f>
        <v>-20389.233545999996</v>
      </c>
      <c r="AY181" s="125">
        <f>AI181*Valores!$C$77</f>
        <v>-2265.4703939999995</v>
      </c>
      <c r="AZ181" s="125">
        <f t="shared" si="24"/>
        <v>696780.1423399999</v>
      </c>
      <c r="BA181" s="125">
        <f>AI181*Valores!$C$79</f>
        <v>120825.08767999998</v>
      </c>
      <c r="BB181" s="125">
        <f>AI181*Valores!$C$80</f>
        <v>52860.975859999991</v>
      </c>
      <c r="BC181" s="125">
        <f>AI181*Valores!$C$81</f>
        <v>7551.5679799999989</v>
      </c>
      <c r="BD181" s="125">
        <f>AI181*Valores!$C$83</f>
        <v>26430.487929999996</v>
      </c>
      <c r="BE181" s="125">
        <f>AI181*Valores!$C$85</f>
        <v>40778.467091999992</v>
      </c>
      <c r="BF181" s="125">
        <f>AI181*Valores!$C$84</f>
        <v>4530.940787999999</v>
      </c>
      <c r="BG181" s="126"/>
      <c r="BH181" s="126">
        <v>45</v>
      </c>
      <c r="BI181" s="123" t="s">
        <v>4</v>
      </c>
    </row>
    <row r="182" spans="1:61" s="110" customFormat="1" ht="11.25" customHeight="1" x14ac:dyDescent="0.15">
      <c r="A182" s="123" t="s">
        <v>447</v>
      </c>
      <c r="B182" s="123">
        <v>1</v>
      </c>
      <c r="C182" s="126">
        <v>175</v>
      </c>
      <c r="D182" s="124" t="s">
        <v>448</v>
      </c>
      <c r="E182" s="192">
        <v>1278</v>
      </c>
      <c r="F182" s="125">
        <f>ROUND(E182*Valores!$C$2,2)</f>
        <v>99168.58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93116.04</v>
      </c>
      <c r="M182" s="125">
        <f>ROUND(IF($H$2=0,IF(AND(A182&lt;&gt;"13-930",A182&lt;&gt;"13-940"),(SUM(F182,H182,J182,L182,X182,T182,R182)*Valores!$C$4),0),0),2)</f>
        <v>67664.820000000007</v>
      </c>
      <c r="N182" s="125">
        <f t="shared" si="21"/>
        <v>0</v>
      </c>
      <c r="O182" s="125">
        <f>Valores!$C$16</f>
        <v>67049.36</v>
      </c>
      <c r="P182" s="125">
        <f>Valores!$D$5</f>
        <v>39667.43</v>
      </c>
      <c r="Q182" s="125">
        <f>Valores!$C$22</f>
        <v>35387.42</v>
      </c>
      <c r="R182" s="125">
        <f>IF($F$4="NO",Valores!$C$48,Valores!$C$48/2)</f>
        <v>41465.839999999997</v>
      </c>
      <c r="S182" s="125">
        <f>Valores!$C$19</f>
        <v>36908.81</v>
      </c>
      <c r="T182" s="125">
        <f t="shared" si="28"/>
        <v>36908.81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Valores!$C$98</f>
        <v>108631.74</v>
      </c>
      <c r="AA182" s="125">
        <f>Valores!$C$25</f>
        <v>1622.32</v>
      </c>
      <c r="AB182" s="214">
        <v>0</v>
      </c>
      <c r="AC182" s="125">
        <f t="shared" si="22"/>
        <v>0</v>
      </c>
      <c r="AD182" s="125">
        <f>Valores!$C$26</f>
        <v>1622.32</v>
      </c>
      <c r="AE182" s="192">
        <v>0</v>
      </c>
      <c r="AF182" s="125">
        <f>ROUND(AE182*Valores!$C$2,2)</f>
        <v>0</v>
      </c>
      <c r="AG182" s="125">
        <f>ROUND(IF($F$4="NO",Valores!$C$64,Valores!$C$64/2),2)</f>
        <v>18547.32</v>
      </c>
      <c r="AH182" s="125">
        <f>SUM(F182,H182,J182,L182,M182,N182,O182,P182,Q182,R182,T182,U182,V182,X182,Y182,Z182,AA182,AC182,AD182,AF182,AG182)*Valores!$C$104</f>
        <v>61085.19999999999</v>
      </c>
      <c r="AI182" s="125">
        <f t="shared" si="25"/>
        <v>671937.19999999984</v>
      </c>
      <c r="AJ182" s="125">
        <f>Valores!$C$32</f>
        <v>70000</v>
      </c>
      <c r="AK182" s="125">
        <v>0</v>
      </c>
      <c r="AL182" s="125">
        <f>Valores!$C$91</f>
        <v>0</v>
      </c>
      <c r="AM182" s="125">
        <f>Valores!C$39*B182</f>
        <v>0</v>
      </c>
      <c r="AN182" s="125">
        <f>IF($F$3="NO",0,Valores!$C$56)</f>
        <v>0</v>
      </c>
      <c r="AO182" s="125">
        <f t="shared" si="23"/>
        <v>70000</v>
      </c>
      <c r="AP182" s="125">
        <f>AI182*Valores!$C$72</f>
        <v>-73913.09199999999</v>
      </c>
      <c r="AQ182" s="125">
        <f>IF(AI182&lt;Valores!$E$73,-0.02,IF(AI182&lt;Valores!$F$73,-0.03,-0.04))*AI182</f>
        <v>-13438.743999999997</v>
      </c>
      <c r="AR182" s="125">
        <f>AI182*Valores!$C$75</f>
        <v>-36956.545999999995</v>
      </c>
      <c r="AS182" s="125">
        <f>Valores!$C$102</f>
        <v>-1270.1600000000001</v>
      </c>
      <c r="AT182" s="125">
        <f>IF($F$5=0,Valores!$C$103,(Valores!$C$103+$F$5*(Valores!$C$103)))</f>
        <v>-3700</v>
      </c>
      <c r="AU182" s="125">
        <f t="shared" si="26"/>
        <v>612658.65799999982</v>
      </c>
      <c r="AV182" s="125">
        <f t="shared" si="20"/>
        <v>-73913.09199999999</v>
      </c>
      <c r="AW182" s="125">
        <f t="shared" si="27"/>
        <v>-13438.743999999997</v>
      </c>
      <c r="AX182" s="125">
        <f>AI182*Valores!$C$76</f>
        <v>-18142.304399999994</v>
      </c>
      <c r="AY182" s="125">
        <f>AI182*Valores!$C$77</f>
        <v>-2015.8115999999995</v>
      </c>
      <c r="AZ182" s="125">
        <f t="shared" si="24"/>
        <v>634427.24799999991</v>
      </c>
      <c r="BA182" s="125">
        <f>AI182*Valores!$C$79</f>
        <v>107509.95199999998</v>
      </c>
      <c r="BB182" s="125">
        <f>AI182*Valores!$C$80</f>
        <v>47035.603999999992</v>
      </c>
      <c r="BC182" s="125">
        <f>AI182*Valores!$C$81</f>
        <v>6719.3719999999985</v>
      </c>
      <c r="BD182" s="125">
        <f>AI182*Valores!$C$83</f>
        <v>23517.801999999996</v>
      </c>
      <c r="BE182" s="125">
        <f>AI182*Valores!$C$85</f>
        <v>36284.608799999987</v>
      </c>
      <c r="BF182" s="125">
        <f>AI182*Valores!$C$84</f>
        <v>4031.6231999999991</v>
      </c>
      <c r="BG182" s="126"/>
      <c r="BH182" s="126"/>
      <c r="BI182" s="123" t="s">
        <v>4</v>
      </c>
    </row>
    <row r="183" spans="1:61" s="110" customFormat="1" ht="11.25" customHeight="1" x14ac:dyDescent="0.15">
      <c r="A183" s="123" t="s">
        <v>449</v>
      </c>
      <c r="B183" s="123">
        <v>1</v>
      </c>
      <c r="C183" s="126">
        <v>176</v>
      </c>
      <c r="D183" s="124" t="s">
        <v>450</v>
      </c>
      <c r="E183" s="192">
        <v>971</v>
      </c>
      <c r="F183" s="125">
        <f>ROUND(E183*Valores!$C$2,2)</f>
        <v>75346.399999999994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51213.82</v>
      </c>
      <c r="M183" s="125">
        <f>ROUND(IF($H$2=0,IF(AND(A183&lt;&gt;"13-930",A183&lt;&gt;"13-940"),(SUM(F183,H183,J183,L183,X183,T183,R183)*Valores!$C$4),0),0),2)</f>
        <v>51233.72</v>
      </c>
      <c r="N183" s="125">
        <f t="shared" si="21"/>
        <v>0</v>
      </c>
      <c r="O183" s="125">
        <f>Valores!$C$16</f>
        <v>67049.36</v>
      </c>
      <c r="P183" s="125">
        <f>Valores!$D$5</f>
        <v>39667.43</v>
      </c>
      <c r="Q183" s="125">
        <f>Valores!$C$23</f>
        <v>32936.269999999997</v>
      </c>
      <c r="R183" s="125">
        <f>IF($F$4="NO",Valores!$C$48,Valores!$C$48/2)</f>
        <v>41465.839999999997</v>
      </c>
      <c r="S183" s="125">
        <f>Valores!$C$19</f>
        <v>36908.81</v>
      </c>
      <c r="T183" s="125">
        <f t="shared" si="28"/>
        <v>36908.81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Valores!$C$98</f>
        <v>108631.74</v>
      </c>
      <c r="AA183" s="125">
        <f>Valores!$C$25</f>
        <v>1622.32</v>
      </c>
      <c r="AB183" s="214">
        <v>0</v>
      </c>
      <c r="AC183" s="125">
        <f t="shared" si="22"/>
        <v>0</v>
      </c>
      <c r="AD183" s="125">
        <f>Valores!$C$26</f>
        <v>1622.32</v>
      </c>
      <c r="AE183" s="192">
        <v>0</v>
      </c>
      <c r="AF183" s="125">
        <f>ROUND(AE183*Valores!$C$2,2)</f>
        <v>0</v>
      </c>
      <c r="AG183" s="125">
        <f>ROUND(IF($F$4="NO",Valores!$C$64,Valores!$C$64/2),2)</f>
        <v>18547.32</v>
      </c>
      <c r="AH183" s="125">
        <f>SUM(F183,H183,J183,L183,M183,N183,O183,P183,Q183,R183,T183,U183,V183,X183,Y183,Z183,AA183,AC183,AD183,AF183,AG183)*Valores!$C$104</f>
        <v>52624.535000000003</v>
      </c>
      <c r="AI183" s="125">
        <f t="shared" si="25"/>
        <v>578869.88500000001</v>
      </c>
      <c r="AJ183" s="125">
        <f>Valores!$C$31</f>
        <v>35000</v>
      </c>
      <c r="AK183" s="125">
        <v>0</v>
      </c>
      <c r="AL183" s="125">
        <f>Valores!$C$91</f>
        <v>0</v>
      </c>
      <c r="AM183" s="125">
        <f>Valores!C$39*B183</f>
        <v>0</v>
      </c>
      <c r="AN183" s="125">
        <f>IF($F$3="NO",0,Valores!$C$56)</f>
        <v>0</v>
      </c>
      <c r="AO183" s="125">
        <f t="shared" si="23"/>
        <v>35000</v>
      </c>
      <c r="AP183" s="125">
        <f>AI183*Valores!$C$72</f>
        <v>-63675.68735</v>
      </c>
      <c r="AQ183" s="125">
        <f>IF(AI183&lt;Valores!$E$73,-0.02,IF(AI183&lt;Valores!$F$73,-0.03,-0.04))*AI183</f>
        <v>-11577.3977</v>
      </c>
      <c r="AR183" s="125">
        <f>AI183*Valores!$C$75</f>
        <v>-31837.843675</v>
      </c>
      <c r="AS183" s="125">
        <f>Valores!$C$102</f>
        <v>-1270.1600000000001</v>
      </c>
      <c r="AT183" s="125">
        <f>IF($F$5=0,Valores!$C$103,(Valores!$C$103+$F$5*(Valores!$C$103)))</f>
        <v>-3700</v>
      </c>
      <c r="AU183" s="125">
        <f t="shared" si="26"/>
        <v>501808.79627499997</v>
      </c>
      <c r="AV183" s="125">
        <f t="shared" si="20"/>
        <v>-63675.68735</v>
      </c>
      <c r="AW183" s="125">
        <f t="shared" si="27"/>
        <v>-11577.3977</v>
      </c>
      <c r="AX183" s="125">
        <f>AI183*Valores!$C$76</f>
        <v>-15629.486895</v>
      </c>
      <c r="AY183" s="125">
        <f>AI183*Valores!$C$77</f>
        <v>-1736.609655</v>
      </c>
      <c r="AZ183" s="125">
        <f t="shared" si="24"/>
        <v>521250.7034</v>
      </c>
      <c r="BA183" s="125">
        <f>AI183*Valores!$C$79</f>
        <v>92619.181599999996</v>
      </c>
      <c r="BB183" s="125">
        <f>AI183*Valores!$C$80</f>
        <v>40520.891950000005</v>
      </c>
      <c r="BC183" s="125">
        <f>AI183*Valores!$C$81</f>
        <v>5788.6988499999998</v>
      </c>
      <c r="BD183" s="125">
        <f>AI183*Valores!$C$83</f>
        <v>20260.445975000002</v>
      </c>
      <c r="BE183" s="125">
        <f>AI183*Valores!$C$85</f>
        <v>31258.97379</v>
      </c>
      <c r="BF183" s="125">
        <f>AI183*Valores!$C$84</f>
        <v>3473.21931</v>
      </c>
      <c r="BG183" s="126"/>
      <c r="BH183" s="126">
        <v>18</v>
      </c>
      <c r="BI183" s="123" t="s">
        <v>4</v>
      </c>
    </row>
    <row r="184" spans="1:61" s="110" customFormat="1" ht="11.25" customHeight="1" x14ac:dyDescent="0.15">
      <c r="A184" s="123" t="s">
        <v>451</v>
      </c>
      <c r="B184" s="123">
        <v>1</v>
      </c>
      <c r="C184" s="126">
        <v>177</v>
      </c>
      <c r="D184" s="124" t="s">
        <v>452</v>
      </c>
      <c r="E184" s="192">
        <v>179</v>
      </c>
      <c r="F184" s="125">
        <f>ROUND(E184*Valores!$C$2,2)</f>
        <v>13889.81</v>
      </c>
      <c r="G184" s="192">
        <f>1323</f>
        <v>1323</v>
      </c>
      <c r="H184" s="125">
        <f>ROUND(G184*Valores!$C$2,2)</f>
        <v>102660.43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100875.71</v>
      </c>
      <c r="M184" s="125">
        <f>ROUND(IF($H$2=0,IF(AND(A184&lt;&gt;"13-930",A184&lt;&gt;"13-940"),(SUM(F184,H184,J184,L184,X184,T184,R184)*Valores!$C$4),0),0),2)</f>
        <v>73950.149999999994</v>
      </c>
      <c r="N184" s="125">
        <f t="shared" si="21"/>
        <v>0</v>
      </c>
      <c r="O184" s="125">
        <f>Valores!$C$9</f>
        <v>97503.47</v>
      </c>
      <c r="P184" s="125">
        <f>Valores!$D$5</f>
        <v>39667.43</v>
      </c>
      <c r="Q184" s="125">
        <f>Valores!$C$22</f>
        <v>35387.42</v>
      </c>
      <c r="R184" s="125">
        <f>IF($F$4="NO",Valores!$C$48,Valores!$C$48/2)</f>
        <v>41465.839999999997</v>
      </c>
      <c r="S184" s="125">
        <f>Valores!$C$19</f>
        <v>36908.81</v>
      </c>
      <c r="T184" s="125">
        <f t="shared" si="28"/>
        <v>36908.81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Valores!$C$98</f>
        <v>108631.74</v>
      </c>
      <c r="AA184" s="125">
        <f>Valores!$C$25</f>
        <v>1622.32</v>
      </c>
      <c r="AB184" s="214">
        <v>0</v>
      </c>
      <c r="AC184" s="125">
        <f t="shared" si="22"/>
        <v>0</v>
      </c>
      <c r="AD184" s="125">
        <f>Valores!$C$26</f>
        <v>1622.32</v>
      </c>
      <c r="AE184" s="192">
        <v>0</v>
      </c>
      <c r="AF184" s="125">
        <f>ROUND(AE184*Valores!$C$2,2)</f>
        <v>0</v>
      </c>
      <c r="AG184" s="125">
        <f>ROUND(IF($F$4="NO",Valores!$C$64,Valores!$C$64/2),2)</f>
        <v>18547.32</v>
      </c>
      <c r="AH184" s="125">
        <f>SUM(F184,H184,J184,L184,M184,N184,O184,P184,Q184,R184,T184,U184,V184,X184,Y184,Z184,AA184,AC184,AD184,AF184,AG184)*Valores!$C$104</f>
        <v>67273.276999999973</v>
      </c>
      <c r="AI184" s="125">
        <f t="shared" si="25"/>
        <v>740006.04699999967</v>
      </c>
      <c r="AJ184" s="125">
        <f>Valores!$C$32</f>
        <v>70000</v>
      </c>
      <c r="AK184" s="125">
        <v>0</v>
      </c>
      <c r="AL184" s="125">
        <f>Valores!$C$91</f>
        <v>0</v>
      </c>
      <c r="AM184" s="125">
        <f>Valores!C$39*B184</f>
        <v>0</v>
      </c>
      <c r="AN184" s="125">
        <v>0</v>
      </c>
      <c r="AO184" s="125">
        <f t="shared" si="23"/>
        <v>70000</v>
      </c>
      <c r="AP184" s="125">
        <f>AI184*Valores!$C$72</f>
        <v>-81400.665169999964</v>
      </c>
      <c r="AQ184" s="125">
        <f>IF(AI184&lt;Valores!$E$73,-0.02,IF(AI184&lt;Valores!$F$73,-0.03,-0.04))*AI184</f>
        <v>-14800.120939999993</v>
      </c>
      <c r="AR184" s="125">
        <f>AI184*Valores!$C$75</f>
        <v>-40700.332584999982</v>
      </c>
      <c r="AS184" s="125">
        <f>Valores!$C$102</f>
        <v>-1270.1600000000001</v>
      </c>
      <c r="AT184" s="125">
        <f>IF($F$5=0,Valores!$C$103,(Valores!$C$103+$F$5*(Valores!$C$103)))</f>
        <v>-3700</v>
      </c>
      <c r="AU184" s="125">
        <f t="shared" si="26"/>
        <v>668134.76830499968</v>
      </c>
      <c r="AV184" s="125">
        <f t="shared" si="20"/>
        <v>-81400.665169999964</v>
      </c>
      <c r="AW184" s="125">
        <f t="shared" si="27"/>
        <v>-14800.120939999993</v>
      </c>
      <c r="AX184" s="125">
        <f>AI184*Valores!$C$76</f>
        <v>-19980.16326899999</v>
      </c>
      <c r="AY184" s="125">
        <f>AI184*Valores!$C$77</f>
        <v>-2220.0181409999991</v>
      </c>
      <c r="AZ184" s="125">
        <f t="shared" si="24"/>
        <v>691605.07947999972</v>
      </c>
      <c r="BA184" s="125">
        <f>AI184*Valores!$C$79</f>
        <v>118400.96751999995</v>
      </c>
      <c r="BB184" s="125">
        <f>AI184*Valores!$C$80</f>
        <v>51800.423289999984</v>
      </c>
      <c r="BC184" s="125">
        <f>AI184*Valores!$C$81</f>
        <v>7400.0604699999967</v>
      </c>
      <c r="BD184" s="125">
        <f>AI184*Valores!$C$83</f>
        <v>25900.211644999992</v>
      </c>
      <c r="BE184" s="125">
        <f>AI184*Valores!$C$85</f>
        <v>39960.326537999979</v>
      </c>
      <c r="BF184" s="125">
        <f>AI184*Valores!$C$84</f>
        <v>4440.0362819999982</v>
      </c>
      <c r="BG184" s="126"/>
      <c r="BH184" s="126">
        <v>45</v>
      </c>
      <c r="BI184" s="123" t="s">
        <v>4</v>
      </c>
    </row>
    <row r="185" spans="1:61" s="110" customFormat="1" ht="11.25" customHeight="1" x14ac:dyDescent="0.15">
      <c r="A185" s="123" t="s">
        <v>453</v>
      </c>
      <c r="B185" s="123">
        <v>1</v>
      </c>
      <c r="C185" s="126">
        <v>178</v>
      </c>
      <c r="D185" s="124" t="s">
        <v>454</v>
      </c>
      <c r="E185" s="192">
        <v>64</v>
      </c>
      <c r="F185" s="125">
        <f>ROUND(E185*Valores!$C$2,2)</f>
        <v>4966.1899999999996</v>
      </c>
      <c r="G185" s="192">
        <v>1354</v>
      </c>
      <c r="H185" s="125">
        <f>ROUND(G185*Valores!$C$2,2)</f>
        <v>105065.93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93116.04</v>
      </c>
      <c r="M185" s="125">
        <f>ROUND(IF($H$2=0,IF(AND(A185&lt;&gt;"13-930",A185&lt;&gt;"13-940"),(SUM(F185,H185,J185,L185,X185,T185,R185)*Valores!$C$4),0),0),2)</f>
        <v>70286.37</v>
      </c>
      <c r="N185" s="125">
        <f t="shared" si="21"/>
        <v>0</v>
      </c>
      <c r="O185" s="125">
        <f>Valores!$C$14</f>
        <v>77265.73</v>
      </c>
      <c r="P185" s="125">
        <f>Valores!$D$5</f>
        <v>39667.43</v>
      </c>
      <c r="Q185" s="125">
        <v>0</v>
      </c>
      <c r="R185" s="125">
        <f>IF($F$4="NO",Valores!$C$48,Valores!$C$48/2)</f>
        <v>41465.839999999997</v>
      </c>
      <c r="S185" s="125">
        <f>Valores!$C$20</f>
        <v>36531.46</v>
      </c>
      <c r="T185" s="125">
        <f t="shared" si="28"/>
        <v>36531.46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Valores!$C$98</f>
        <v>108631.74</v>
      </c>
      <c r="AA185" s="125">
        <f>Valores!$C$25</f>
        <v>1622.32</v>
      </c>
      <c r="AB185" s="214">
        <v>0</v>
      </c>
      <c r="AC185" s="125">
        <f t="shared" si="22"/>
        <v>0</v>
      </c>
      <c r="AD185" s="125">
        <f>Valores!$C$26</f>
        <v>1622.32</v>
      </c>
      <c r="AE185" s="192">
        <v>0</v>
      </c>
      <c r="AF185" s="125">
        <f>ROUND(AE185*Valores!$C$2,2)</f>
        <v>0</v>
      </c>
      <c r="AG185" s="125">
        <f>ROUND(IF($F$4="NO",Valores!$C$64,Valores!$C$64/2),2)</f>
        <v>18547.32</v>
      </c>
      <c r="AH185" s="125">
        <f>SUM(F185,H185,J185,L185,M185,N185,O185,P185,Q185,R185,T185,U185,V185,X185,Y185,Z185,AA185,AC185,AD185,AF185,AG185)*Valores!$C$104</f>
        <v>59878.868999999984</v>
      </c>
      <c r="AI185" s="125">
        <f t="shared" si="25"/>
        <v>658667.55899999978</v>
      </c>
      <c r="AJ185" s="125">
        <f>Valores!$C$31</f>
        <v>35000</v>
      </c>
      <c r="AK185" s="125">
        <v>0</v>
      </c>
      <c r="AL185" s="125">
        <f>Valores!$C$91</f>
        <v>0</v>
      </c>
      <c r="AM185" s="125">
        <f>Valores!C$39*B185</f>
        <v>0</v>
      </c>
      <c r="AN185" s="125">
        <v>0</v>
      </c>
      <c r="AO185" s="125">
        <f t="shared" si="23"/>
        <v>35000</v>
      </c>
      <c r="AP185" s="125">
        <f>AI185*Valores!$C$72</f>
        <v>-72453.431489999974</v>
      </c>
      <c r="AQ185" s="125">
        <f>IF(AI185&lt;Valores!$E$73,-0.02,IF(AI185&lt;Valores!$F$73,-0.03,-0.04))*AI185</f>
        <v>-13173.351179999996</v>
      </c>
      <c r="AR185" s="125">
        <f>AI185*Valores!$C$75</f>
        <v>-36226.715744999987</v>
      </c>
      <c r="AS185" s="125">
        <f>Valores!$C$102</f>
        <v>-1270.1600000000001</v>
      </c>
      <c r="AT185" s="125">
        <f>IF($F$5=0,Valores!$C$103,(Valores!$C$103+$F$5*(Valores!$C$103)))</f>
        <v>-3700</v>
      </c>
      <c r="AU185" s="125">
        <f t="shared" si="26"/>
        <v>566843.90058499982</v>
      </c>
      <c r="AV185" s="125">
        <f t="shared" si="20"/>
        <v>-72453.431489999974</v>
      </c>
      <c r="AW185" s="125">
        <f t="shared" si="27"/>
        <v>-13173.351179999996</v>
      </c>
      <c r="AX185" s="125">
        <f>AI185*Valores!$C$76</f>
        <v>-17784.024092999993</v>
      </c>
      <c r="AY185" s="125">
        <f>AI185*Valores!$C$77</f>
        <v>-1976.0026769999993</v>
      </c>
      <c r="AZ185" s="125">
        <f t="shared" si="24"/>
        <v>588280.74955999979</v>
      </c>
      <c r="BA185" s="125">
        <f>AI185*Valores!$C$79</f>
        <v>105386.80943999997</v>
      </c>
      <c r="BB185" s="125">
        <f>AI185*Valores!$C$80</f>
        <v>46106.729129999985</v>
      </c>
      <c r="BC185" s="125">
        <f>AI185*Valores!$C$81</f>
        <v>6586.675589999998</v>
      </c>
      <c r="BD185" s="125">
        <f>AI185*Valores!$C$83</f>
        <v>23053.364564999993</v>
      </c>
      <c r="BE185" s="125">
        <f>AI185*Valores!$C$85</f>
        <v>35568.048185999985</v>
      </c>
      <c r="BF185" s="125">
        <f>AI185*Valores!$C$84</f>
        <v>3952.0053539999985</v>
      </c>
      <c r="BG185" s="126"/>
      <c r="BH185" s="126">
        <v>30</v>
      </c>
      <c r="BI185" s="123" t="s">
        <v>8</v>
      </c>
    </row>
    <row r="186" spans="1:61" s="110" customFormat="1" ht="11.25" customHeight="1" x14ac:dyDescent="0.15">
      <c r="A186" s="123" t="s">
        <v>455</v>
      </c>
      <c r="B186" s="123">
        <v>1</v>
      </c>
      <c r="C186" s="126">
        <v>179</v>
      </c>
      <c r="D186" s="124" t="s">
        <v>456</v>
      </c>
      <c r="E186" s="192">
        <v>55</v>
      </c>
      <c r="F186" s="125">
        <f>ROUND(E186*Valores!$C$2,2)</f>
        <v>4267.82</v>
      </c>
      <c r="G186" s="192">
        <v>1279</v>
      </c>
      <c r="H186" s="125">
        <f>ROUND(G186*Valores!$C$2,2)</f>
        <v>99246.18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93116.04</v>
      </c>
      <c r="M186" s="125">
        <f>ROUND(IF($H$2=0,IF(AND(A186&lt;&gt;"13-930",A186&lt;&gt;"13-940"),(SUM(F186,H186,J186,L186,X186,T186,R186)*Valores!$C$4),0),0),2)</f>
        <v>68751.17</v>
      </c>
      <c r="N186" s="125">
        <f t="shared" si="21"/>
        <v>0</v>
      </c>
      <c r="O186" s="125">
        <f>Valores!$C$16</f>
        <v>67049.36</v>
      </c>
      <c r="P186" s="125">
        <f>Valores!$D$5</f>
        <v>39667.43</v>
      </c>
      <c r="Q186" s="125">
        <v>0</v>
      </c>
      <c r="R186" s="125">
        <f>IF($F$4="NO",Valores!$C$48,Valores!$C$48/2)</f>
        <v>41465.839999999997</v>
      </c>
      <c r="S186" s="125">
        <f>Valores!$C$19</f>
        <v>36908.81</v>
      </c>
      <c r="T186" s="125">
        <f t="shared" si="28"/>
        <v>36908.81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Valores!$C$98</f>
        <v>108631.74</v>
      </c>
      <c r="AA186" s="125">
        <f>Valores!$C$25</f>
        <v>1622.32</v>
      </c>
      <c r="AB186" s="214">
        <v>0</v>
      </c>
      <c r="AC186" s="125">
        <f t="shared" si="22"/>
        <v>0</v>
      </c>
      <c r="AD186" s="125">
        <f>Valores!$C$26</f>
        <v>1622.32</v>
      </c>
      <c r="AE186" s="192">
        <v>0</v>
      </c>
      <c r="AF186" s="125">
        <f>ROUND(AE186*Valores!$C$2,2)</f>
        <v>0</v>
      </c>
      <c r="AG186" s="125">
        <f>ROUND(IF($F$4="NO",Valores!$C$64,Valores!$C$64/2),2)</f>
        <v>18547.32</v>
      </c>
      <c r="AH186" s="125">
        <f>SUM(F186,H186,J186,L186,M186,N186,O186,P186,Q186,R186,T186,U186,V186,X186,Y186,Z186,AA186,AC186,AD186,AF186,AG186)*Valores!$C$104</f>
        <v>58089.634999999987</v>
      </c>
      <c r="AI186" s="125">
        <f t="shared" si="25"/>
        <v>638985.98499999987</v>
      </c>
      <c r="AJ186" s="125">
        <f>Valores!$C$31</f>
        <v>35000</v>
      </c>
      <c r="AK186" s="125">
        <v>0</v>
      </c>
      <c r="AL186" s="125">
        <f>Valores!$C$91</f>
        <v>0</v>
      </c>
      <c r="AM186" s="125">
        <f>Valores!C$39*B186</f>
        <v>0</v>
      </c>
      <c r="AN186" s="125">
        <v>0</v>
      </c>
      <c r="AO186" s="125">
        <f t="shared" si="23"/>
        <v>35000</v>
      </c>
      <c r="AP186" s="125">
        <f>AI186*Valores!$C$72</f>
        <v>-70288.458349999986</v>
      </c>
      <c r="AQ186" s="125">
        <f>IF(AI186&lt;Valores!$E$73,-0.02,IF(AI186&lt;Valores!$F$73,-0.03,-0.04))*AI186</f>
        <v>-12779.719699999998</v>
      </c>
      <c r="AR186" s="125">
        <f>AI186*Valores!$C$75</f>
        <v>-35144.229174999993</v>
      </c>
      <c r="AS186" s="125">
        <f>Valores!$C$102</f>
        <v>-1270.1600000000001</v>
      </c>
      <c r="AT186" s="125">
        <f>IF($F$5=0,Valores!$C$103,(Valores!$C$103+$F$5*(Valores!$C$103)))</f>
        <v>-3700</v>
      </c>
      <c r="AU186" s="125">
        <f t="shared" si="26"/>
        <v>550803.41777499986</v>
      </c>
      <c r="AV186" s="125">
        <f t="shared" si="20"/>
        <v>-70288.458349999986</v>
      </c>
      <c r="AW186" s="125">
        <f t="shared" si="27"/>
        <v>-12779.719699999998</v>
      </c>
      <c r="AX186" s="125">
        <f>AI186*Valores!$C$76</f>
        <v>-17252.621594999997</v>
      </c>
      <c r="AY186" s="125">
        <f>AI186*Valores!$C$77</f>
        <v>-1916.9579549999996</v>
      </c>
      <c r="AZ186" s="125">
        <f t="shared" si="24"/>
        <v>571748.22739999986</v>
      </c>
      <c r="BA186" s="125">
        <f>AI186*Valores!$C$79</f>
        <v>102237.75759999998</v>
      </c>
      <c r="BB186" s="125">
        <f>AI186*Valores!$C$80</f>
        <v>44729.018949999998</v>
      </c>
      <c r="BC186" s="125">
        <f>AI186*Valores!$C$81</f>
        <v>6389.8598499999989</v>
      </c>
      <c r="BD186" s="125">
        <f>AI186*Valores!$C$83</f>
        <v>22364.509474999999</v>
      </c>
      <c r="BE186" s="125">
        <f>AI186*Valores!$C$85</f>
        <v>34505.243189999994</v>
      </c>
      <c r="BF186" s="125">
        <f>AI186*Valores!$C$84</f>
        <v>3833.9159099999993</v>
      </c>
      <c r="BG186" s="126"/>
      <c r="BH186" s="126">
        <v>30</v>
      </c>
      <c r="BI186" s="123" t="s">
        <v>8</v>
      </c>
    </row>
    <row r="187" spans="1:61" s="110" customFormat="1" ht="11.25" customHeight="1" x14ac:dyDescent="0.15">
      <c r="A187" s="123" t="s">
        <v>457</v>
      </c>
      <c r="B187" s="123">
        <v>1</v>
      </c>
      <c r="C187" s="126">
        <v>180</v>
      </c>
      <c r="D187" s="124" t="s">
        <v>458</v>
      </c>
      <c r="E187" s="192">
        <v>1027</v>
      </c>
      <c r="F187" s="125">
        <f>ROUND(E187*Valores!$C$2,2)</f>
        <v>79691.81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93116.04</v>
      </c>
      <c r="M187" s="125">
        <f>ROUND(IF($H$2=0,IF(AND(A187&lt;&gt;"13-930",A187&lt;&gt;"13-940"),(SUM(F187,H187,J187,L187,X187,T187,R187)*Valores!$C$4),0),0),2)</f>
        <v>62701.29</v>
      </c>
      <c r="N187" s="125">
        <f t="shared" si="21"/>
        <v>0</v>
      </c>
      <c r="O187" s="125">
        <f>Valores!$C$16</f>
        <v>67049.36</v>
      </c>
      <c r="P187" s="125">
        <f>Valores!$D$5</f>
        <v>39667.43</v>
      </c>
      <c r="Q187" s="125">
        <v>0</v>
      </c>
      <c r="R187" s="125">
        <f>IF($F$4="NO",Valores!$C$48,Valores!$C$48/2)</f>
        <v>41465.839999999997</v>
      </c>
      <c r="S187" s="125">
        <f>Valores!$C$20</f>
        <v>36531.46</v>
      </c>
      <c r="T187" s="125">
        <f t="shared" si="28"/>
        <v>36531.46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Valores!$C$98</f>
        <v>108631.74</v>
      </c>
      <c r="AA187" s="125">
        <f>Valores!$C$25</f>
        <v>1622.32</v>
      </c>
      <c r="AB187" s="214">
        <v>0</v>
      </c>
      <c r="AC187" s="125">
        <f t="shared" si="22"/>
        <v>0</v>
      </c>
      <c r="AD187" s="125">
        <f>Valores!$C$26</f>
        <v>1622.32</v>
      </c>
      <c r="AE187" s="192">
        <v>0</v>
      </c>
      <c r="AF187" s="125">
        <f>ROUND(AE187*Valores!$C$2,2)</f>
        <v>0</v>
      </c>
      <c r="AG187" s="125">
        <f>ROUND(IF($F$4="NO",Valores!$C$64,Valores!$C$64/2),2)</f>
        <v>18547.32</v>
      </c>
      <c r="AH187" s="125">
        <f>SUM(F187,H187,J187,L187,M187,N187,O187,P187,Q187,R187,T187,U187,V187,X187,Y187,Z187,AA187,AC187,AD187,AF187,AG187)*Valores!$C$104</f>
        <v>55064.692999999999</v>
      </c>
      <c r="AI187" s="125">
        <f t="shared" si="25"/>
        <v>605711.62299999991</v>
      </c>
      <c r="AJ187" s="125">
        <f>Valores!$C$31</f>
        <v>35000</v>
      </c>
      <c r="AK187" s="125">
        <v>0</v>
      </c>
      <c r="AL187" s="125">
        <f>Valores!$C$91</f>
        <v>0</v>
      </c>
      <c r="AM187" s="125">
        <f>Valores!C$39*B187</f>
        <v>0</v>
      </c>
      <c r="AN187" s="125">
        <v>0</v>
      </c>
      <c r="AO187" s="125">
        <f t="shared" si="23"/>
        <v>35000</v>
      </c>
      <c r="AP187" s="125">
        <f>AI187*Valores!$C$72</f>
        <v>-66628.278529999996</v>
      </c>
      <c r="AQ187" s="125">
        <f>IF(AI187&lt;Valores!$E$73,-0.02,IF(AI187&lt;Valores!$F$73,-0.03,-0.04))*AI187</f>
        <v>-12114.232459999997</v>
      </c>
      <c r="AR187" s="125">
        <f>AI187*Valores!$C$75</f>
        <v>-33314.139264999998</v>
      </c>
      <c r="AS187" s="125">
        <f>Valores!$C$102</f>
        <v>-1270.1600000000001</v>
      </c>
      <c r="AT187" s="125">
        <f>IF($F$5=0,Valores!$C$103,(Valores!$C$103+$F$5*(Valores!$C$103)))</f>
        <v>-3700</v>
      </c>
      <c r="AU187" s="125">
        <f t="shared" si="26"/>
        <v>523684.81274499989</v>
      </c>
      <c r="AV187" s="125">
        <f t="shared" si="20"/>
        <v>-66628.278529999996</v>
      </c>
      <c r="AW187" s="125">
        <f t="shared" si="27"/>
        <v>-12114.232459999997</v>
      </c>
      <c r="AX187" s="125">
        <f>AI187*Valores!$C$76</f>
        <v>-16354.213820999998</v>
      </c>
      <c r="AY187" s="125">
        <f>AI187*Valores!$C$77</f>
        <v>-1817.1348689999998</v>
      </c>
      <c r="AZ187" s="125">
        <f t="shared" si="24"/>
        <v>543797.76331999991</v>
      </c>
      <c r="BA187" s="125">
        <f>AI187*Valores!$C$79</f>
        <v>96913.85967999998</v>
      </c>
      <c r="BB187" s="125">
        <f>AI187*Valores!$C$80</f>
        <v>42399.813609999997</v>
      </c>
      <c r="BC187" s="125">
        <f>AI187*Valores!$C$81</f>
        <v>6057.1162299999987</v>
      </c>
      <c r="BD187" s="125">
        <f>AI187*Valores!$C$83</f>
        <v>21199.906804999999</v>
      </c>
      <c r="BE187" s="125">
        <f>AI187*Valores!$C$85</f>
        <v>32708.427641999995</v>
      </c>
      <c r="BF187" s="125">
        <f>AI187*Valores!$C$84</f>
        <v>3634.2697379999995</v>
      </c>
      <c r="BG187" s="126"/>
      <c r="BH187" s="126">
        <v>30</v>
      </c>
      <c r="BI187" s="123" t="s">
        <v>8</v>
      </c>
    </row>
    <row r="188" spans="1:61" s="110" customFormat="1" ht="11.25" customHeight="1" x14ac:dyDescent="0.15">
      <c r="A188" s="123" t="s">
        <v>459</v>
      </c>
      <c r="B188" s="123">
        <v>1</v>
      </c>
      <c r="C188" s="126">
        <v>181</v>
      </c>
      <c r="D188" s="124" t="s">
        <v>460</v>
      </c>
      <c r="E188" s="192">
        <v>1278</v>
      </c>
      <c r="F188" s="125">
        <f>ROUND(E188*Valores!$C$2,2)</f>
        <v>99168.58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93116.04</v>
      </c>
      <c r="M188" s="125">
        <f>ROUND(IF($H$2=0,IF(AND(A188&lt;&gt;"13-930",A188&lt;&gt;"13-940"),(SUM(F188,H188,J188,L188,X188,T188,R188)*Valores!$C$4),0),0),2)</f>
        <v>67664.820000000007</v>
      </c>
      <c r="N188" s="125">
        <f t="shared" si="21"/>
        <v>0</v>
      </c>
      <c r="O188" s="125">
        <f>Valores!$C$16</f>
        <v>67049.36</v>
      </c>
      <c r="P188" s="125">
        <f>Valores!$D$5</f>
        <v>39667.43</v>
      </c>
      <c r="Q188" s="125">
        <f>Valores!$C$22</f>
        <v>35387.42</v>
      </c>
      <c r="R188" s="125">
        <f>IF($F$4="NO",Valores!$C$48,Valores!$C$48/2)</f>
        <v>41465.839999999997</v>
      </c>
      <c r="S188" s="125">
        <f>Valores!$C$19</f>
        <v>36908.81</v>
      </c>
      <c r="T188" s="125">
        <f t="shared" si="28"/>
        <v>36908.81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Valores!$C$98</f>
        <v>108631.74</v>
      </c>
      <c r="AA188" s="125">
        <f>Valores!$C$25</f>
        <v>1622.32</v>
      </c>
      <c r="AB188" s="214">
        <v>0</v>
      </c>
      <c r="AC188" s="125">
        <f t="shared" si="22"/>
        <v>0</v>
      </c>
      <c r="AD188" s="125">
        <f>Valores!$C$26</f>
        <v>1622.32</v>
      </c>
      <c r="AE188" s="192">
        <v>0</v>
      </c>
      <c r="AF188" s="125">
        <f>ROUND(AE188*Valores!$C$2,2)</f>
        <v>0</v>
      </c>
      <c r="AG188" s="125">
        <f>ROUND(IF($F$4="NO",Valores!$C$64,Valores!$C$64/2),2)</f>
        <v>18547.32</v>
      </c>
      <c r="AH188" s="125">
        <f>SUM(F188,H188,J188,L188,M188,N188,O188,P188,Q188,R188,T188,U188,V188,X188,Y188,Z188,AA188,AC188,AD188,AF188,AG188)*Valores!$C$104</f>
        <v>61085.19999999999</v>
      </c>
      <c r="AI188" s="125">
        <f t="shared" si="25"/>
        <v>671937.19999999984</v>
      </c>
      <c r="AJ188" s="125">
        <f>Valores!$C$32</f>
        <v>70000</v>
      </c>
      <c r="AK188" s="125">
        <v>0</v>
      </c>
      <c r="AL188" s="125">
        <f>Valores!$C$91</f>
        <v>0</v>
      </c>
      <c r="AM188" s="125">
        <f>Valores!C$39*B188</f>
        <v>0</v>
      </c>
      <c r="AN188" s="125">
        <f>IF($F$3="NO",0,Valores!$C$56)</f>
        <v>0</v>
      </c>
      <c r="AO188" s="125">
        <f t="shared" si="23"/>
        <v>70000</v>
      </c>
      <c r="AP188" s="125">
        <f>AI188*Valores!$C$72</f>
        <v>-73913.09199999999</v>
      </c>
      <c r="AQ188" s="125">
        <f>IF(AI188&lt;Valores!$E$73,-0.02,IF(AI188&lt;Valores!$F$73,-0.03,-0.04))*AI188</f>
        <v>-13438.743999999997</v>
      </c>
      <c r="AR188" s="125">
        <f>AI188*Valores!$C$75</f>
        <v>-36956.545999999995</v>
      </c>
      <c r="AS188" s="125">
        <f>Valores!$C$102</f>
        <v>-1270.1600000000001</v>
      </c>
      <c r="AT188" s="125">
        <f>IF($F$5=0,Valores!$C$103,(Valores!$C$103+$F$5*(Valores!$C$103)))</f>
        <v>-3700</v>
      </c>
      <c r="AU188" s="125">
        <f t="shared" si="26"/>
        <v>612658.65799999982</v>
      </c>
      <c r="AV188" s="125">
        <f t="shared" si="20"/>
        <v>-73913.09199999999</v>
      </c>
      <c r="AW188" s="125">
        <f t="shared" si="27"/>
        <v>-13438.743999999997</v>
      </c>
      <c r="AX188" s="125">
        <f>AI188*Valores!$C$76</f>
        <v>-18142.304399999994</v>
      </c>
      <c r="AY188" s="125">
        <f>AI188*Valores!$C$77</f>
        <v>-2015.8115999999995</v>
      </c>
      <c r="AZ188" s="125">
        <f t="shared" si="24"/>
        <v>634427.24799999991</v>
      </c>
      <c r="BA188" s="125">
        <f>AI188*Valores!$C$79</f>
        <v>107509.95199999998</v>
      </c>
      <c r="BB188" s="125">
        <f>AI188*Valores!$C$80</f>
        <v>47035.603999999992</v>
      </c>
      <c r="BC188" s="125">
        <f>AI188*Valores!$C$81</f>
        <v>6719.3719999999985</v>
      </c>
      <c r="BD188" s="125">
        <f>AI188*Valores!$C$83</f>
        <v>23517.801999999996</v>
      </c>
      <c r="BE188" s="125">
        <f>AI188*Valores!$C$85</f>
        <v>36284.608799999987</v>
      </c>
      <c r="BF188" s="125">
        <f>AI188*Valores!$C$84</f>
        <v>4031.6231999999991</v>
      </c>
      <c r="BG188" s="126"/>
      <c r="BH188" s="126">
        <v>36</v>
      </c>
      <c r="BI188" s="123" t="s">
        <v>4</v>
      </c>
    </row>
    <row r="189" spans="1:61" s="110" customFormat="1" ht="11.25" customHeight="1" x14ac:dyDescent="0.15">
      <c r="A189" s="123" t="s">
        <v>461</v>
      </c>
      <c r="B189" s="123">
        <v>1</v>
      </c>
      <c r="C189" s="126">
        <v>182</v>
      </c>
      <c r="D189" s="124" t="s">
        <v>462</v>
      </c>
      <c r="E189" s="192">
        <v>1065</v>
      </c>
      <c r="F189" s="125">
        <f>ROUND(E189*Valores!$C$2,2)</f>
        <v>82640.490000000005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46558.02</v>
      </c>
      <c r="M189" s="125">
        <f>ROUND(IF($H$2=0,IF(AND(A189&lt;&gt;"13-930",A189&lt;&gt;"13-940"),(SUM(F189,H189,J189,L189,X189,T189,R189)*Valores!$C$4),0),0),2)</f>
        <v>51893.29</v>
      </c>
      <c r="N189" s="125">
        <f t="shared" si="21"/>
        <v>0</v>
      </c>
      <c r="O189" s="125">
        <f>Valores!$C$16</f>
        <v>67049.36</v>
      </c>
      <c r="P189" s="125">
        <f>Valores!$D$5</f>
        <v>39667.43</v>
      </c>
      <c r="Q189" s="125">
        <v>0</v>
      </c>
      <c r="R189" s="125">
        <f>IF($F$4="NO",Valores!$C$48,Valores!$C$48/2)</f>
        <v>41465.839999999997</v>
      </c>
      <c r="S189" s="125">
        <f>Valores!$C$19</f>
        <v>36908.81</v>
      </c>
      <c r="T189" s="125">
        <f t="shared" si="28"/>
        <v>36908.81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Valores!$C$98</f>
        <v>108631.74</v>
      </c>
      <c r="AA189" s="125">
        <f>Valores!$C$25</f>
        <v>1622.32</v>
      </c>
      <c r="AB189" s="214">
        <v>0</v>
      </c>
      <c r="AC189" s="125">
        <f t="shared" si="22"/>
        <v>0</v>
      </c>
      <c r="AD189" s="125">
        <f>Valores!$C$26</f>
        <v>1622.32</v>
      </c>
      <c r="AE189" s="192">
        <v>0</v>
      </c>
      <c r="AF189" s="125">
        <f>ROUND(AE189*Valores!$C$2,2)</f>
        <v>0</v>
      </c>
      <c r="AG189" s="125">
        <f>ROUND(IF($F$4="NO",Valores!$C$64,Valores!$C$64/2),2)</f>
        <v>18547.32</v>
      </c>
      <c r="AH189" s="125">
        <f>SUM(F189,H189,J189,L189,M189,N189,O189,P189,Q189,R189,T189,U189,V189,X189,Y189,Z189,AA189,AC189,AD189,AF189,AG189)*Valores!$C$104</f>
        <v>49660.69400000001</v>
      </c>
      <c r="AI189" s="125">
        <f t="shared" si="25"/>
        <v>546267.63400000008</v>
      </c>
      <c r="AJ189" s="125">
        <f>Valores!$C$32</f>
        <v>70000</v>
      </c>
      <c r="AK189" s="125">
        <v>0</v>
      </c>
      <c r="AL189" s="125">
        <f>Valores!$C$91</f>
        <v>0</v>
      </c>
      <c r="AM189" s="125">
        <f>Valores!C$39*B189</f>
        <v>0</v>
      </c>
      <c r="AN189" s="125">
        <f>IF($F$3="NO",0,Valores!$C$56)</f>
        <v>0</v>
      </c>
      <c r="AO189" s="125">
        <f t="shared" si="23"/>
        <v>70000</v>
      </c>
      <c r="AP189" s="125">
        <f>AI189*Valores!$C$72</f>
        <v>-60089.439740000009</v>
      </c>
      <c r="AQ189" s="125">
        <f>IF(AI189&lt;Valores!$E$73,-0.02,IF(AI189&lt;Valores!$F$73,-0.03,-0.04))*AI189</f>
        <v>-10925.352680000002</v>
      </c>
      <c r="AR189" s="125">
        <f>AI189*Valores!$C$75</f>
        <v>-30044.719870000004</v>
      </c>
      <c r="AS189" s="125">
        <f>Valores!$C$102</f>
        <v>-1270.1600000000001</v>
      </c>
      <c r="AT189" s="125">
        <f>IF($F$5=0,Valores!$C$103,(Valores!$C$103+$F$5*(Valores!$C$103)))</f>
        <v>-3700</v>
      </c>
      <c r="AU189" s="125">
        <f t="shared" si="26"/>
        <v>510237.96171000006</v>
      </c>
      <c r="AV189" s="125">
        <f t="shared" si="20"/>
        <v>-60089.439740000009</v>
      </c>
      <c r="AW189" s="125">
        <f t="shared" si="27"/>
        <v>-10925.352680000002</v>
      </c>
      <c r="AX189" s="125">
        <f>AI189*Valores!$C$76</f>
        <v>-14749.226118000002</v>
      </c>
      <c r="AY189" s="125">
        <f>AI189*Valores!$C$77</f>
        <v>-1638.8029020000004</v>
      </c>
      <c r="AZ189" s="125">
        <f t="shared" si="24"/>
        <v>528864.81256000011</v>
      </c>
      <c r="BA189" s="125">
        <f>AI189*Valores!$C$79</f>
        <v>87402.821440000014</v>
      </c>
      <c r="BB189" s="125">
        <f>AI189*Valores!$C$80</f>
        <v>38238.734380000009</v>
      </c>
      <c r="BC189" s="125">
        <f>AI189*Valores!$C$81</f>
        <v>5462.6763400000009</v>
      </c>
      <c r="BD189" s="125">
        <f>AI189*Valores!$C$83</f>
        <v>19119.367190000004</v>
      </c>
      <c r="BE189" s="125">
        <f>AI189*Valores!$C$85</f>
        <v>29498.452236000005</v>
      </c>
      <c r="BF189" s="125">
        <f>AI189*Valores!$C$84</f>
        <v>3277.6058040000007</v>
      </c>
      <c r="BG189" s="126"/>
      <c r="BH189" s="126"/>
      <c r="BI189" s="123" t="s">
        <v>4</v>
      </c>
    </row>
    <row r="190" spans="1:61" s="110" customFormat="1" ht="12" customHeight="1" x14ac:dyDescent="0.15">
      <c r="A190" s="123" t="s">
        <v>463</v>
      </c>
      <c r="B190" s="123">
        <v>1</v>
      </c>
      <c r="C190" s="126">
        <v>183</v>
      </c>
      <c r="D190" s="124" t="s">
        <v>464</v>
      </c>
      <c r="E190" s="192">
        <v>971</v>
      </c>
      <c r="F190" s="125">
        <f>ROUND(E190*Valores!$C$2,2)</f>
        <v>75346.399999999994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51213.82</v>
      </c>
      <c r="M190" s="125">
        <f>ROUND(IF($H$2=0,IF(AND(A190&lt;&gt;"13-930",A190&lt;&gt;"13-940"),(SUM(F190,H190,J190,L190,X190,T190,R190)*Valores!$C$4),0),0),2)</f>
        <v>47755.97</v>
      </c>
      <c r="N190" s="125">
        <f t="shared" si="21"/>
        <v>0</v>
      </c>
      <c r="O190" s="125">
        <f>Valores!$C$16</f>
        <v>67049.36</v>
      </c>
      <c r="P190" s="125">
        <f>Valores!$D$5</f>
        <v>39667.43</v>
      </c>
      <c r="Q190" s="125">
        <f>Valores!$C$23</f>
        <v>32936.269999999997</v>
      </c>
      <c r="R190" s="125">
        <f>IF($F$4="NO",Valores!$C$45,Valores!$C$45/2)</f>
        <v>27554.83</v>
      </c>
      <c r="S190" s="125">
        <f>Valores!$C$19</f>
        <v>36908.81</v>
      </c>
      <c r="T190" s="125">
        <f t="shared" si="28"/>
        <v>36908.81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Valores!$C$96</f>
        <v>54315.88</v>
      </c>
      <c r="AA190" s="125">
        <f>Valores!$C$25</f>
        <v>1622.32</v>
      </c>
      <c r="AB190" s="214">
        <v>0</v>
      </c>
      <c r="AC190" s="125">
        <f t="shared" si="22"/>
        <v>0</v>
      </c>
      <c r="AD190" s="125">
        <f>Valores!$C$26</f>
        <v>1622.32</v>
      </c>
      <c r="AE190" s="192">
        <v>0</v>
      </c>
      <c r="AF190" s="125">
        <f>ROUND(AE190*Valores!$C$2,2)</f>
        <v>0</v>
      </c>
      <c r="AG190" s="125">
        <f>ROUND(IF($F$4="NO",Valores!$C$64,Valores!$C$64/2),2)</f>
        <v>18547.32</v>
      </c>
      <c r="AH190" s="125">
        <f>SUM(F190,H190,J190,L190,M190,N190,O190,P190,Q190,R190,T190,U190,V190,X190,Y190,Z190,AA190,AC190,AD190,AF190,AG190)*Valores!$C$104</f>
        <v>45454.073000000004</v>
      </c>
      <c r="AI190" s="125">
        <f t="shared" si="25"/>
        <v>499994.80300000007</v>
      </c>
      <c r="AJ190" s="125">
        <f>Valores!$C$31</f>
        <v>35000</v>
      </c>
      <c r="AK190" s="125">
        <v>0</v>
      </c>
      <c r="AL190" s="125">
        <f>Valores!$C$89</f>
        <v>0</v>
      </c>
      <c r="AM190" s="125">
        <f>Valores!C$39*B190</f>
        <v>0</v>
      </c>
      <c r="AN190" s="125">
        <v>0</v>
      </c>
      <c r="AO190" s="125">
        <f t="shared" si="23"/>
        <v>35000</v>
      </c>
      <c r="AP190" s="125">
        <f>AI190*Valores!$C$72</f>
        <v>-54999.42833000001</v>
      </c>
      <c r="AQ190" s="125">
        <f>IF(AI190&lt;Valores!$E$73,-0.02,IF(AI190&lt;Valores!$F$73,-0.03,-0.04))*AI190</f>
        <v>-9999.8960600000009</v>
      </c>
      <c r="AR190" s="125">
        <f>AI190*Valores!$C$75</f>
        <v>-27499.714165000005</v>
      </c>
      <c r="AS190" s="125">
        <f>Valores!$C$102</f>
        <v>-1270.1600000000001</v>
      </c>
      <c r="AT190" s="125">
        <f>IF($F$5=0,Valores!$C$103,(Valores!$C$103+$F$5*(Valores!$C$103)))</f>
        <v>-3700</v>
      </c>
      <c r="AU190" s="125">
        <f t="shared" si="26"/>
        <v>437525.60444500006</v>
      </c>
      <c r="AV190" s="125">
        <f t="shared" si="20"/>
        <v>-54999.42833000001</v>
      </c>
      <c r="AW190" s="125">
        <f t="shared" si="27"/>
        <v>-9999.8960600000009</v>
      </c>
      <c r="AX190" s="125">
        <f>AI190*Valores!$C$76</f>
        <v>-13499.859681000002</v>
      </c>
      <c r="AY190" s="125">
        <f>AI190*Valores!$C$77</f>
        <v>-1499.9844090000001</v>
      </c>
      <c r="AZ190" s="125">
        <f t="shared" si="24"/>
        <v>454995.63452000008</v>
      </c>
      <c r="BA190" s="125">
        <f>AI190*Valores!$C$79</f>
        <v>79999.168480000008</v>
      </c>
      <c r="BB190" s="125">
        <f>AI190*Valores!$C$80</f>
        <v>34999.636210000011</v>
      </c>
      <c r="BC190" s="125">
        <f>AI190*Valores!$C$81</f>
        <v>4999.9480300000005</v>
      </c>
      <c r="BD190" s="125">
        <f>AI190*Valores!$C$83</f>
        <v>17499.818105000006</v>
      </c>
      <c r="BE190" s="125">
        <f>AI190*Valores!$C$85</f>
        <v>26999.719362000003</v>
      </c>
      <c r="BF190" s="125">
        <f>AI190*Valores!$C$84</f>
        <v>2999.9688180000003</v>
      </c>
      <c r="BG190" s="126"/>
      <c r="BH190" s="126">
        <v>18</v>
      </c>
      <c r="BI190" s="123" t="s">
        <v>4</v>
      </c>
    </row>
    <row r="191" spans="1:61" s="110" customFormat="1" ht="11.25" customHeight="1" x14ac:dyDescent="0.15">
      <c r="A191" s="123" t="s">
        <v>465</v>
      </c>
      <c r="B191" s="123">
        <v>1</v>
      </c>
      <c r="C191" s="126">
        <v>184</v>
      </c>
      <c r="D191" s="124" t="str">
        <f t="shared" ref="D191:D226" si="29">CONCATENATE("Hora Cátedra Enseñanza Superior ",B191," hs")</f>
        <v>Hora Cátedra Enseñanza Superior 1 hs</v>
      </c>
      <c r="E191" s="192">
        <f t="shared" ref="E191:E226" si="30">99*B191</f>
        <v>99</v>
      </c>
      <c r="F191" s="125">
        <f>ROUND(E191*Valores!$C$2,2)</f>
        <v>7682.07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2473.9299999999998</v>
      </c>
      <c r="N191" s="125">
        <f t="shared" si="21"/>
        <v>0</v>
      </c>
      <c r="O191" s="125">
        <f>Valores!$C$7*B191</f>
        <v>2631.37</v>
      </c>
      <c r="P191" s="125">
        <f>ROUND(IF(B191&lt;15,(Valores!$E$5*B191),Valores!$D$5),2)</f>
        <v>2644.5</v>
      </c>
      <c r="Q191" s="125">
        <v>0</v>
      </c>
      <c r="R191" s="125">
        <f>IF($F$4="NO",IF(Valores!$C$50*B191&gt;Valores!$F$47,Valores!$F$47,Valores!$C$50*B191),IF(Valores!$C$50*B191&gt;Valores!$F$47,Valores!$F$47,Valores!$C$50*B191)/2)</f>
        <v>1386.06</v>
      </c>
      <c r="S191" s="125">
        <f>Valores!$C$18*B191</f>
        <v>827.6</v>
      </c>
      <c r="T191" s="125">
        <f t="shared" si="28"/>
        <v>827.6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IF(Valores!$C$99*B191&gt;Valores!$C$98,Valores!$C$98,Valores!$C$99*B191)</f>
        <v>2526.5</v>
      </c>
      <c r="AA191" s="125">
        <f>IF((Valores!$C$28)*B191&gt;Valores!$F$28,Valores!$F$28,(Valores!$C$28)*B191)</f>
        <v>65.02</v>
      </c>
      <c r="AB191" s="214">
        <v>0</v>
      </c>
      <c r="AC191" s="125">
        <f t="shared" si="22"/>
        <v>0</v>
      </c>
      <c r="AD191" s="125">
        <f>IF(Valores!$C$29*B191&gt;Valores!$F$29,Valores!$F$29,Valores!$C$29*B191)</f>
        <v>54.14</v>
      </c>
      <c r="AE191" s="192">
        <v>0</v>
      </c>
      <c r="AF191" s="125">
        <f>ROUND(AE191*Valores!$C$2,2)</f>
        <v>0</v>
      </c>
      <c r="AG191" s="125">
        <f>IF($F$4="NO",IF(Valores!$D$64*'Escala Docente'!B191&gt;Valores!$F$64,Valores!$F$64,Valores!$D$64*'Escala Docente'!B191),IF(Valores!$D$64*'Escala Docente'!B191&gt;Valores!$F$64,Valores!$F$64,Valores!$D$64*'Escala Docente'!B191)/2)</f>
        <v>1236.49</v>
      </c>
      <c r="AH191" s="125">
        <f>SUM(F191,H191,J191,L191,M191,N191,O191,P191,Q191,R191,T191,U191,V191,X191,Y191,Z191,AA191,AC191,AD191,AF191,AG191)*Valores!$C$104</f>
        <v>2152.768</v>
      </c>
      <c r="AI191" s="125">
        <f t="shared" si="25"/>
        <v>23680.448</v>
      </c>
      <c r="AJ191" s="125">
        <f>IF(Valores!$C$33*B191&gt;Valores!$F$33,Valores!$F$33,Valores!$C$33*B191)</f>
        <v>2333.3333333333298</v>
      </c>
      <c r="AK191" s="125">
        <v>0</v>
      </c>
      <c r="AL191" s="125">
        <f>IF(Valores!$C$92*B191&gt;Valores!$C$91,Valores!$C$91,Valores!$C$92*B191)</f>
        <v>0</v>
      </c>
      <c r="AM191" s="125">
        <f>IF(Valores!C$40*B191&gt;Valores!F$39,Valores!F$39,Valores!C$40*B191)</f>
        <v>0</v>
      </c>
      <c r="AN191" s="125">
        <f>IF($F$3="NO",0,IF(Valores!$C$62*B191&gt;Valores!$F$62,Valores!$F$62,Valores!$C$62*B191))</f>
        <v>0</v>
      </c>
      <c r="AO191" s="125">
        <f t="shared" si="23"/>
        <v>2333.3333333333298</v>
      </c>
      <c r="AP191" s="125">
        <f>AI191*Valores!$C$72</f>
        <v>-2604.8492799999999</v>
      </c>
      <c r="AQ191" s="125">
        <f>IF(AI191&lt;Valores!$E$73,-0.02,IF(AI191&lt;Valores!$F$73,-0.03,-0.04))*AI191</f>
        <v>-473.60896000000002</v>
      </c>
      <c r="AR191" s="125">
        <f>AI191*Valores!$C$75</f>
        <v>-1302.42464</v>
      </c>
      <c r="AS191" s="125">
        <f>Valores!$C$102</f>
        <v>-1270.1600000000001</v>
      </c>
      <c r="AT191" s="125">
        <f>IF($F$5=0,Valores!$C$103,(Valores!$C$103+$F$5*(Valores!$C$103)))</f>
        <v>-3700</v>
      </c>
      <c r="AU191" s="125">
        <f t="shared" si="26"/>
        <v>16662.738453333332</v>
      </c>
      <c r="AV191" s="125">
        <f t="shared" si="20"/>
        <v>-2604.8492799999999</v>
      </c>
      <c r="AW191" s="125">
        <f t="shared" si="27"/>
        <v>-473.60896000000002</v>
      </c>
      <c r="AX191" s="125">
        <f>AI191*Valores!$C$76</f>
        <v>-639.37209600000006</v>
      </c>
      <c r="AY191" s="125">
        <f>AI191*Valores!$C$77</f>
        <v>-71.041344000000009</v>
      </c>
      <c r="AZ191" s="125">
        <f t="shared" si="24"/>
        <v>22224.909653333329</v>
      </c>
      <c r="BA191" s="125">
        <f>AI191*Valores!$C$79</f>
        <v>3788.8716800000002</v>
      </c>
      <c r="BB191" s="125">
        <f>AI191*Valores!$C$80</f>
        <v>1657.6313600000001</v>
      </c>
      <c r="BC191" s="125">
        <f>AI191*Valores!$C$81</f>
        <v>236.80448000000001</v>
      </c>
      <c r="BD191" s="125">
        <f>AI191*Valores!$C$83</f>
        <v>828.81568000000004</v>
      </c>
      <c r="BE191" s="125">
        <f>AI191*Valores!$C$85</f>
        <v>1278.7441920000001</v>
      </c>
      <c r="BF191" s="125">
        <f>AI191*Valores!$C$84</f>
        <v>142.08268800000002</v>
      </c>
      <c r="BG191" s="126"/>
      <c r="BH191" s="126">
        <f t="shared" ref="BH191:BH222" si="31">1*B191</f>
        <v>1</v>
      </c>
      <c r="BI191" s="123" t="s">
        <v>4</v>
      </c>
    </row>
    <row r="192" spans="1:61" s="110" customFormat="1" ht="11.25" customHeight="1" x14ac:dyDescent="0.15">
      <c r="A192" s="123" t="s">
        <v>465</v>
      </c>
      <c r="B192" s="123">
        <v>2</v>
      </c>
      <c r="C192" s="126">
        <v>185</v>
      </c>
      <c r="D192" s="124" t="str">
        <f t="shared" si="29"/>
        <v>Hora Cátedra Enseñanza Superior 2 hs</v>
      </c>
      <c r="E192" s="192">
        <f t="shared" si="30"/>
        <v>198</v>
      </c>
      <c r="F192" s="125">
        <f>ROUND(E192*Valores!$C$2,2)</f>
        <v>15364.15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4947.87</v>
      </c>
      <c r="N192" s="125">
        <f t="shared" si="21"/>
        <v>0</v>
      </c>
      <c r="O192" s="125">
        <f>Valores!$C$7*B192</f>
        <v>5262.74</v>
      </c>
      <c r="P192" s="125">
        <f>ROUND(IF(B192&lt;15,(Valores!$E$5*B192),Valores!$D$5),2)</f>
        <v>5289</v>
      </c>
      <c r="Q192" s="125">
        <v>0</v>
      </c>
      <c r="R192" s="125">
        <f>IF($F$4="NO",IF(Valores!$C$50*B192&gt;Valores!$F$47,Valores!$F$47,Valores!$C$50*B192),IF(Valores!$C$50*B192&gt;Valores!$F$47,Valores!$F$47,Valores!$C$50*B192)/2)</f>
        <v>2772.12</v>
      </c>
      <c r="S192" s="125">
        <f>Valores!$C$18*B192</f>
        <v>1655.2</v>
      </c>
      <c r="T192" s="125">
        <f t="shared" si="28"/>
        <v>1655.2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IF(Valores!$C$99*B192&gt;Valores!$C$98,Valores!$C$98,Valores!$C$99*B192)</f>
        <v>5053</v>
      </c>
      <c r="AA192" s="125">
        <f>IF((Valores!$C$28)*B192&gt;Valores!$F$28,Valores!$F$28,(Valores!$C$28)*B192)</f>
        <v>130.04</v>
      </c>
      <c r="AB192" s="214">
        <v>0</v>
      </c>
      <c r="AC192" s="125">
        <f t="shared" si="22"/>
        <v>0</v>
      </c>
      <c r="AD192" s="125">
        <f>IF(Valores!$C$29*B192&gt;Valores!$F$29,Valores!$F$29,Valores!$C$29*B192)</f>
        <v>108.28</v>
      </c>
      <c r="AE192" s="192">
        <v>0</v>
      </c>
      <c r="AF192" s="125">
        <f>ROUND(AE192*Valores!$C$2,2)</f>
        <v>0</v>
      </c>
      <c r="AG192" s="125">
        <f>IF($F$4="NO",IF(Valores!$D$64*'Escala Docente'!B192&gt;Valores!$F$64,Valores!$F$64,Valores!$D$64*'Escala Docente'!B192),IF(Valores!$D$64*'Escala Docente'!B192&gt;Valores!$F$64,Valores!$F$64,Valores!$D$64*'Escala Docente'!B192)/2)</f>
        <v>2472.98</v>
      </c>
      <c r="AH192" s="125">
        <f>SUM(F192,H192,J192,L192,M192,N192,O192,P192,Q192,R192,T192,U192,V192,X192,Y192,Z192,AA192,AC192,AD192,AF192,AG192)*Valores!$C$104</f>
        <v>4305.5380000000005</v>
      </c>
      <c r="AI192" s="125">
        <f t="shared" si="25"/>
        <v>47360.918000000005</v>
      </c>
      <c r="AJ192" s="125">
        <f>IF(Valores!$C$33*B192&gt;Valores!$F$33,Valores!$F$33,Valores!$C$33*B192)</f>
        <v>4666.6666666666597</v>
      </c>
      <c r="AK192" s="125">
        <v>0</v>
      </c>
      <c r="AL192" s="125">
        <f>IF(Valores!$C$92*B192&gt;Valores!$C$91,Valores!$C$91,Valores!$C$92*B192)</f>
        <v>0</v>
      </c>
      <c r="AM192" s="125">
        <f>IF(Valores!C$40*B192&gt;Valores!F$39,Valores!F$39,Valores!C$40*B192)</f>
        <v>0</v>
      </c>
      <c r="AN192" s="125">
        <f>IF($F$3="NO",0,IF(Valores!$C$62*B192&gt;Valores!$F$62,Valores!$F$62,Valores!$C$62*B192))</f>
        <v>0</v>
      </c>
      <c r="AO192" s="125">
        <f t="shared" si="23"/>
        <v>4666.6666666666597</v>
      </c>
      <c r="AP192" s="125">
        <f>AI192*Valores!$C$72</f>
        <v>-5209.7009800000005</v>
      </c>
      <c r="AQ192" s="125">
        <f>IF(AI192&lt;Valores!$E$73,-0.02,IF(AI192&lt;Valores!$F$73,-0.03,-0.04))*AI192</f>
        <v>-947.21836000000008</v>
      </c>
      <c r="AR192" s="125">
        <f>AI192*Valores!$C$75</f>
        <v>-2604.8504900000003</v>
      </c>
      <c r="AS192" s="125">
        <f>Valores!$C$102</f>
        <v>-1270.1600000000001</v>
      </c>
      <c r="AT192" s="125">
        <f>IF($F$5=0,Valores!$C$103,(Valores!$C$103+$F$5*(Valores!$C$103)))</f>
        <v>-3700</v>
      </c>
      <c r="AU192" s="125">
        <f t="shared" si="26"/>
        <v>38295.654836666668</v>
      </c>
      <c r="AV192" s="125">
        <f t="shared" si="20"/>
        <v>-5209.7009800000005</v>
      </c>
      <c r="AW192" s="125">
        <f t="shared" si="27"/>
        <v>-947.21836000000008</v>
      </c>
      <c r="AX192" s="125">
        <f>AI192*Valores!$C$76</f>
        <v>-1278.7447860000002</v>
      </c>
      <c r="AY192" s="125">
        <f>AI192*Valores!$C$77</f>
        <v>-142.08275400000002</v>
      </c>
      <c r="AZ192" s="125">
        <f t="shared" si="24"/>
        <v>44449.837786666663</v>
      </c>
      <c r="BA192" s="125">
        <f>AI192*Valores!$C$79</f>
        <v>7577.7468800000006</v>
      </c>
      <c r="BB192" s="125">
        <f>AI192*Valores!$C$80</f>
        <v>3315.2642600000008</v>
      </c>
      <c r="BC192" s="125">
        <f>AI192*Valores!$C$81</f>
        <v>473.60918000000004</v>
      </c>
      <c r="BD192" s="125">
        <f>AI192*Valores!$C$83</f>
        <v>1657.6321300000004</v>
      </c>
      <c r="BE192" s="125">
        <f>AI192*Valores!$C$85</f>
        <v>2557.4895720000004</v>
      </c>
      <c r="BF192" s="125">
        <f>AI192*Valores!$C$84</f>
        <v>284.16550800000005</v>
      </c>
      <c r="BG192" s="126"/>
      <c r="BH192" s="126">
        <f t="shared" si="31"/>
        <v>2</v>
      </c>
      <c r="BI192" s="123" t="s">
        <v>4</v>
      </c>
    </row>
    <row r="193" spans="1:61" s="110" customFormat="1" ht="11.25" customHeight="1" x14ac:dyDescent="0.15">
      <c r="A193" s="123" t="s">
        <v>465</v>
      </c>
      <c r="B193" s="123">
        <v>3</v>
      </c>
      <c r="C193" s="126">
        <v>186</v>
      </c>
      <c r="D193" s="124" t="str">
        <f t="shared" si="29"/>
        <v>Hora Cátedra Enseñanza Superior 3 hs</v>
      </c>
      <c r="E193" s="192">
        <f t="shared" si="30"/>
        <v>297</v>
      </c>
      <c r="F193" s="125">
        <f>ROUND(E193*Valores!$C$2,2)</f>
        <v>23046.22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7421.8</v>
      </c>
      <c r="N193" s="125">
        <f t="shared" si="21"/>
        <v>0</v>
      </c>
      <c r="O193" s="125">
        <f>Valores!$C$7*B193</f>
        <v>7894.11</v>
      </c>
      <c r="P193" s="125">
        <f>ROUND(IF(B193&lt;15,(Valores!$E$5*B193),Valores!$D$5),2)</f>
        <v>7933.5</v>
      </c>
      <c r="Q193" s="125">
        <v>0</v>
      </c>
      <c r="R193" s="125">
        <f>IF($F$4="NO",IF(Valores!$C$50*B193&gt;Valores!$F$47,Valores!$F$47,Valores!$C$50*B193),IF(Valores!$C$50*B193&gt;Valores!$F$47,Valores!$F$47,Valores!$C$50*B193)/2)</f>
        <v>4158.18</v>
      </c>
      <c r="S193" s="125">
        <f>Valores!$C$18*B193</f>
        <v>2482.8000000000002</v>
      </c>
      <c r="T193" s="125">
        <f t="shared" si="28"/>
        <v>2482.8000000000002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IF(Valores!$C$99*B193&gt;Valores!$C$98,Valores!$C$98,Valores!$C$99*B193)</f>
        <v>7579.5</v>
      </c>
      <c r="AA193" s="125">
        <f>IF((Valores!$C$28)*B193&gt;Valores!$F$28,Valores!$F$28,(Valores!$C$28)*B193)</f>
        <v>195.06</v>
      </c>
      <c r="AB193" s="214">
        <v>0</v>
      </c>
      <c r="AC193" s="125">
        <f t="shared" si="22"/>
        <v>0</v>
      </c>
      <c r="AD193" s="125">
        <f>IF(Valores!$C$29*B193&gt;Valores!$F$29,Valores!$F$29,Valores!$C$29*B193)</f>
        <v>162.42000000000002</v>
      </c>
      <c r="AE193" s="192">
        <v>0</v>
      </c>
      <c r="AF193" s="125">
        <f>ROUND(AE193*Valores!$C$2,2)</f>
        <v>0</v>
      </c>
      <c r="AG193" s="125">
        <f>IF($F$4="NO",IF(Valores!$D$64*'Escala Docente'!B193&gt;Valores!$F$64,Valores!$F$64,Valores!$D$64*'Escala Docente'!B193),IF(Valores!$D$64*'Escala Docente'!B193&gt;Valores!$F$64,Valores!$F$64,Valores!$D$64*'Escala Docente'!B193)/2)+0.01</f>
        <v>3709.4800000000005</v>
      </c>
      <c r="AH193" s="125">
        <f>SUM(F193,H193,J193,L193,M193,N193,O193,P193,Q193,R193,T193,U193,V193,X193,Y193,Z193,AA193,AC193,AD193,AF193,AG193)*Valores!$C$104</f>
        <v>6458.3070000000007</v>
      </c>
      <c r="AI193" s="125">
        <f t="shared" si="25"/>
        <v>71041.377000000008</v>
      </c>
      <c r="AJ193" s="125">
        <f>IF(Valores!$C$33*B193&gt;Valores!$F$33,Valores!$F$33,Valores!$C$33*B193)</f>
        <v>6999.9999999999891</v>
      </c>
      <c r="AK193" s="125">
        <v>0</v>
      </c>
      <c r="AL193" s="125">
        <f>IF(Valores!$C$92*B193&gt;Valores!$C$91,Valores!$C$91,Valores!$C$92*B193)</f>
        <v>0</v>
      </c>
      <c r="AM193" s="125">
        <f>IF(Valores!C$40*B193&gt;Valores!F$39,Valores!F$39,Valores!C$40*B193)</f>
        <v>0</v>
      </c>
      <c r="AN193" s="125">
        <f>IF($F$3="NO",0,IF(Valores!$C$62*B193&gt;Valores!$F$62,Valores!$F$62,Valores!$C$62*B193))</f>
        <v>0</v>
      </c>
      <c r="AO193" s="125">
        <f t="shared" si="23"/>
        <v>6999.9999999999891</v>
      </c>
      <c r="AP193" s="125">
        <f>AI193*Valores!$C$72</f>
        <v>-7814.5514700000012</v>
      </c>
      <c r="AQ193" s="125">
        <f>IF(AI193&lt;Valores!$E$73,-0.02,IF(AI193&lt;Valores!$F$73,-0.03,-0.04))*AI193</f>
        <v>-1420.8275400000002</v>
      </c>
      <c r="AR193" s="125">
        <f>AI193*Valores!$C$75</f>
        <v>-3907.2757350000006</v>
      </c>
      <c r="AS193" s="125">
        <f>Valores!$C$102</f>
        <v>-1270.1600000000001</v>
      </c>
      <c r="AT193" s="125">
        <f>IF($F$5=0,Valores!$C$103,(Valores!$C$103+$F$5*(Valores!$C$103)))</f>
        <v>-3700</v>
      </c>
      <c r="AU193" s="125">
        <f t="shared" si="26"/>
        <v>59928.562254999997</v>
      </c>
      <c r="AV193" s="125">
        <f t="shared" si="20"/>
        <v>-7814.5514700000012</v>
      </c>
      <c r="AW193" s="125">
        <f t="shared" si="27"/>
        <v>-1420.8275400000002</v>
      </c>
      <c r="AX193" s="125">
        <f>AI193*Valores!$C$76</f>
        <v>-1918.1171790000001</v>
      </c>
      <c r="AY193" s="125">
        <f>AI193*Valores!$C$77</f>
        <v>-213.12413100000003</v>
      </c>
      <c r="AZ193" s="125">
        <f t="shared" si="24"/>
        <v>66674.756679999991</v>
      </c>
      <c r="BA193" s="125">
        <f>AI193*Valores!$C$79</f>
        <v>11366.620320000002</v>
      </c>
      <c r="BB193" s="125">
        <f>AI193*Valores!$C$80</f>
        <v>4972.8963900000008</v>
      </c>
      <c r="BC193" s="125">
        <f>AI193*Valores!$C$81</f>
        <v>710.41377000000011</v>
      </c>
      <c r="BD193" s="125">
        <f>AI193*Valores!$C$83</f>
        <v>2486.4481950000004</v>
      </c>
      <c r="BE193" s="125">
        <f>AI193*Valores!$C$85</f>
        <v>3836.2343580000002</v>
      </c>
      <c r="BF193" s="125">
        <f>AI193*Valores!$C$84</f>
        <v>426.24826200000007</v>
      </c>
      <c r="BG193" s="126"/>
      <c r="BH193" s="126">
        <f t="shared" si="31"/>
        <v>3</v>
      </c>
      <c r="BI193" s="123" t="s">
        <v>4</v>
      </c>
    </row>
    <row r="194" spans="1:61" s="110" customFormat="1" ht="11.25" customHeight="1" x14ac:dyDescent="0.15">
      <c r="A194" s="123" t="s">
        <v>465</v>
      </c>
      <c r="B194" s="123">
        <v>4</v>
      </c>
      <c r="C194" s="126">
        <v>187</v>
      </c>
      <c r="D194" s="124" t="str">
        <f t="shared" si="29"/>
        <v>Hora Cátedra Enseñanza Superior 4 hs</v>
      </c>
      <c r="E194" s="192">
        <f t="shared" si="30"/>
        <v>396</v>
      </c>
      <c r="F194" s="125">
        <f>ROUND(E194*Valores!$C$2,2)</f>
        <v>30728.29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9895.73</v>
      </c>
      <c r="N194" s="125">
        <f t="shared" si="21"/>
        <v>0</v>
      </c>
      <c r="O194" s="125">
        <f>Valores!$C$7*B194</f>
        <v>10525.48</v>
      </c>
      <c r="P194" s="125">
        <f>ROUND(IF(B194&lt;15,(Valores!$E$5*B194),Valores!$D$5),2)</f>
        <v>10578</v>
      </c>
      <c r="Q194" s="125">
        <v>0</v>
      </c>
      <c r="R194" s="125">
        <f>IF($F$4="NO",IF(Valores!$C$50*B194&gt;Valores!$F$47,Valores!$F$47,Valores!$C$50*B194),IF(Valores!$C$50*B194&gt;Valores!$F$47,Valores!$F$47,Valores!$C$50*B194)/2)</f>
        <v>5544.24</v>
      </c>
      <c r="S194" s="125">
        <f>Valores!$C$18*B194</f>
        <v>3310.4</v>
      </c>
      <c r="T194" s="125">
        <f t="shared" si="28"/>
        <v>3310.4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IF(Valores!$C$99*B194&gt;Valores!$C$98,Valores!$C$98,Valores!$C$99*B194)</f>
        <v>10106</v>
      </c>
      <c r="AA194" s="125">
        <f>IF((Valores!$C$28)*B194&gt;Valores!$F$28,Valores!$F$28,(Valores!$C$28)*B194)</f>
        <v>260.08</v>
      </c>
      <c r="AB194" s="214">
        <v>0</v>
      </c>
      <c r="AC194" s="125">
        <f t="shared" si="22"/>
        <v>0</v>
      </c>
      <c r="AD194" s="125">
        <f>IF(Valores!$C$29*B194&gt;Valores!$F$29,Valores!$F$29,Valores!$C$29*B194)</f>
        <v>216.56</v>
      </c>
      <c r="AE194" s="192">
        <v>0</v>
      </c>
      <c r="AF194" s="125">
        <f>ROUND(AE194*Valores!$C$2,2)</f>
        <v>0</v>
      </c>
      <c r="AG194" s="125">
        <f>IF($F$4="NO",IF(Valores!$D$64*'Escala Docente'!B194&gt;Valores!$F$64,Valores!$F$64,Valores!$D$64*'Escala Docente'!B194),IF(Valores!$D$64*'Escala Docente'!B194&gt;Valores!$F$64,Valores!$F$64,Valores!$D$64*'Escala Docente'!B194)/2)+0.01</f>
        <v>4945.97</v>
      </c>
      <c r="AH194" s="125">
        <f>SUM(F194,H194,J194,L194,M194,N194,O194,P194,Q194,R194,T194,U194,V194,X194,Y194,Z194,AA194,AC194,AD194,AF194,AG194)*Valores!$C$104</f>
        <v>8611.0750000000007</v>
      </c>
      <c r="AI194" s="125">
        <f t="shared" si="25"/>
        <v>94721.824999999997</v>
      </c>
      <c r="AJ194" s="125">
        <f>IF(Valores!$C$33*B194&gt;Valores!$F$33,Valores!$F$33,Valores!$C$33*B194)</f>
        <v>9333.3333333333194</v>
      </c>
      <c r="AK194" s="125">
        <v>0</v>
      </c>
      <c r="AL194" s="125">
        <f>IF(Valores!$C$92*B194&gt;Valores!$C$91,Valores!$C$91,Valores!$C$92*B194)</f>
        <v>0</v>
      </c>
      <c r="AM194" s="125">
        <f>IF(Valores!C$40*B194&gt;Valores!F$39,Valores!F$39,Valores!C$40*B194)</f>
        <v>0</v>
      </c>
      <c r="AN194" s="125">
        <f>IF($F$3="NO",0,IF(Valores!$C$62*B194&gt;Valores!$F$62,Valores!$F$62,Valores!$C$62*B194))</f>
        <v>0</v>
      </c>
      <c r="AO194" s="125">
        <f t="shared" si="23"/>
        <v>9333.3333333333194</v>
      </c>
      <c r="AP194" s="125">
        <f>AI194*Valores!$C$72</f>
        <v>-10419.400749999999</v>
      </c>
      <c r="AQ194" s="125">
        <f>IF(AI194&lt;Valores!$E$73,-0.02,IF(AI194&lt;Valores!$F$73,-0.03,-0.04))*AI194</f>
        <v>-1894.4365</v>
      </c>
      <c r="AR194" s="125">
        <f>AI194*Valores!$C$75</f>
        <v>-5209.7003749999994</v>
      </c>
      <c r="AS194" s="125">
        <f>Valores!$C$102</f>
        <v>-1270.1600000000001</v>
      </c>
      <c r="AT194" s="125">
        <f>IF($F$5=0,Valores!$C$103,(Valores!$C$103+$F$5*(Valores!$C$103)))</f>
        <v>-3700</v>
      </c>
      <c r="AU194" s="125">
        <f t="shared" si="26"/>
        <v>81561.460708333325</v>
      </c>
      <c r="AV194" s="125">
        <f t="shared" si="20"/>
        <v>-10419.400749999999</v>
      </c>
      <c r="AW194" s="125">
        <f t="shared" si="27"/>
        <v>-1894.4365</v>
      </c>
      <c r="AX194" s="125">
        <f>AI194*Valores!$C$76</f>
        <v>-2557.4892749999999</v>
      </c>
      <c r="AY194" s="125">
        <f>AI194*Valores!$C$77</f>
        <v>-284.16547500000001</v>
      </c>
      <c r="AZ194" s="125">
        <f t="shared" si="24"/>
        <v>88899.666333333313</v>
      </c>
      <c r="BA194" s="125">
        <f>AI194*Valores!$C$79</f>
        <v>15155.492</v>
      </c>
      <c r="BB194" s="125">
        <f>AI194*Valores!$C$80</f>
        <v>6630.5277500000002</v>
      </c>
      <c r="BC194" s="125">
        <f>AI194*Valores!$C$81</f>
        <v>947.21825000000001</v>
      </c>
      <c r="BD194" s="125">
        <f>AI194*Valores!$C$83</f>
        <v>3315.2638750000001</v>
      </c>
      <c r="BE194" s="125">
        <f>AI194*Valores!$C$85</f>
        <v>5114.9785499999998</v>
      </c>
      <c r="BF194" s="125">
        <f>AI194*Valores!$C$84</f>
        <v>568.33095000000003</v>
      </c>
      <c r="BG194" s="126"/>
      <c r="BH194" s="126">
        <f t="shared" si="31"/>
        <v>4</v>
      </c>
      <c r="BI194" s="123" t="s">
        <v>4</v>
      </c>
    </row>
    <row r="195" spans="1:61" s="110" customFormat="1" ht="11.25" customHeight="1" x14ac:dyDescent="0.15">
      <c r="A195" s="123" t="s">
        <v>465</v>
      </c>
      <c r="B195" s="123">
        <v>5</v>
      </c>
      <c r="C195" s="126">
        <v>188</v>
      </c>
      <c r="D195" s="124" t="str">
        <f t="shared" si="29"/>
        <v>Hora Cátedra Enseñanza Superior 5 hs</v>
      </c>
      <c r="E195" s="192">
        <f t="shared" si="30"/>
        <v>495</v>
      </c>
      <c r="F195" s="125">
        <f>ROUND(E195*Valores!$C$2,2)</f>
        <v>38410.370000000003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12369.67</v>
      </c>
      <c r="N195" s="125">
        <f t="shared" si="21"/>
        <v>0</v>
      </c>
      <c r="O195" s="125">
        <f>Valores!$C$7*B195</f>
        <v>13156.849999999999</v>
      </c>
      <c r="P195" s="125">
        <f>ROUND(IF(B195&lt;15,(Valores!$E$5*B195),Valores!$D$5),2)</f>
        <v>13222.5</v>
      </c>
      <c r="Q195" s="125">
        <v>0</v>
      </c>
      <c r="R195" s="125">
        <f>IF($F$4="NO",IF(Valores!$C$50*B195&gt;Valores!$F$47,Valores!$F$47,Valores!$C$50*B195),IF(Valores!$C$50*B195&gt;Valores!$F$47,Valores!$F$47,Valores!$C$50*B195)/2)</f>
        <v>6930.2999999999993</v>
      </c>
      <c r="S195" s="125">
        <f>Valores!$C$18*B195</f>
        <v>4138</v>
      </c>
      <c r="T195" s="125">
        <f t="shared" si="28"/>
        <v>4138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IF(Valores!$C$99*B195&gt;Valores!$C$98,Valores!$C$98,Valores!$C$99*B195)</f>
        <v>12632.5</v>
      </c>
      <c r="AA195" s="125">
        <f>IF((Valores!$C$28)*B195&gt;Valores!$F$28,Valores!$F$28,(Valores!$C$28)*B195)</f>
        <v>325.09999999999997</v>
      </c>
      <c r="AB195" s="214">
        <v>0</v>
      </c>
      <c r="AC195" s="125">
        <f t="shared" si="22"/>
        <v>0</v>
      </c>
      <c r="AD195" s="125">
        <f>IF(Valores!$C$29*B195&gt;Valores!$F$29,Valores!$F$29,Valores!$C$29*B195)</f>
        <v>270.7</v>
      </c>
      <c r="AE195" s="192">
        <v>0</v>
      </c>
      <c r="AF195" s="125">
        <f>ROUND(AE195*Valores!$C$2,2)</f>
        <v>0</v>
      </c>
      <c r="AG195" s="125">
        <f>IF($F$4="NO",IF(Valores!$D$64*'Escala Docente'!B195&gt;Valores!$F$64,Valores!$F$64,Valores!$D$64*'Escala Docente'!B195),IF(Valores!$D$64*'Escala Docente'!B195&gt;Valores!$F$64,Valores!$F$64,Valores!$D$64*'Escala Docente'!B195)/2)+0.01</f>
        <v>6182.46</v>
      </c>
      <c r="AH195" s="125">
        <f>SUM(F195,H195,J195,L195,M195,N195,O195,P195,Q195,R195,T195,U195,V195,X195,Y195,Z195,AA195,AC195,AD195,AF195,AG195)*Valores!$C$104</f>
        <v>10763.845000000001</v>
      </c>
      <c r="AI195" s="125">
        <f t="shared" si="25"/>
        <v>118402.29500000001</v>
      </c>
      <c r="AJ195" s="125">
        <f>IF(Valores!$C$33*B195&gt;Valores!$F$33,Valores!$F$33,Valores!$C$33*B195)</f>
        <v>11666.66666666665</v>
      </c>
      <c r="AK195" s="125">
        <v>0</v>
      </c>
      <c r="AL195" s="125">
        <f>IF(Valores!$C$92*B195&gt;Valores!$C$91,Valores!$C$91,Valores!$C$92*B195)</f>
        <v>0</v>
      </c>
      <c r="AM195" s="125">
        <f>IF(Valores!C$40*B195&gt;Valores!F$39,Valores!F$39,Valores!C$40*B195)</f>
        <v>0</v>
      </c>
      <c r="AN195" s="125">
        <f>IF($F$3="NO",0,IF(Valores!$C$62*B195&gt;Valores!$F$62,Valores!$F$62,Valores!$C$62*B195))</f>
        <v>0</v>
      </c>
      <c r="AO195" s="125">
        <f t="shared" si="23"/>
        <v>11666.66666666665</v>
      </c>
      <c r="AP195" s="125">
        <f>AI195*Valores!$C$72</f>
        <v>-13024.252450000002</v>
      </c>
      <c r="AQ195" s="125">
        <f>IF(AI195&lt;Valores!$E$73,-0.02,IF(AI195&lt;Valores!$F$73,-0.03,-0.04))*AI195</f>
        <v>-2368.0459000000005</v>
      </c>
      <c r="AR195" s="125">
        <f>AI195*Valores!$C$75</f>
        <v>-6512.1262250000009</v>
      </c>
      <c r="AS195" s="125">
        <f>Valores!$C$102</f>
        <v>-1270.1600000000001</v>
      </c>
      <c r="AT195" s="125">
        <f>IF($F$5=0,Valores!$C$103,(Valores!$C$103+$F$5*(Valores!$C$103)))</f>
        <v>-3700</v>
      </c>
      <c r="AU195" s="125">
        <f t="shared" si="26"/>
        <v>103194.37709166665</v>
      </c>
      <c r="AV195" s="125">
        <f t="shared" si="20"/>
        <v>-13024.252450000002</v>
      </c>
      <c r="AW195" s="125">
        <f t="shared" si="27"/>
        <v>-2368.0459000000005</v>
      </c>
      <c r="AX195" s="125">
        <f>AI195*Valores!$C$76</f>
        <v>-3196.8619650000005</v>
      </c>
      <c r="AY195" s="125">
        <f>AI195*Valores!$C$77</f>
        <v>-355.20688500000006</v>
      </c>
      <c r="AZ195" s="125">
        <f t="shared" si="24"/>
        <v>111124.59446666666</v>
      </c>
      <c r="BA195" s="125">
        <f>AI195*Valores!$C$79</f>
        <v>18944.367200000004</v>
      </c>
      <c r="BB195" s="125">
        <f>AI195*Valores!$C$80</f>
        <v>8288.1606500000016</v>
      </c>
      <c r="BC195" s="125">
        <f>AI195*Valores!$C$81</f>
        <v>1184.0229500000003</v>
      </c>
      <c r="BD195" s="125">
        <f>AI195*Valores!$C$83</f>
        <v>4144.0803250000008</v>
      </c>
      <c r="BE195" s="125">
        <f>AI195*Valores!$C$85</f>
        <v>6393.723930000001</v>
      </c>
      <c r="BF195" s="125">
        <f>AI195*Valores!$C$84</f>
        <v>710.41377000000011</v>
      </c>
      <c r="BG195" s="126"/>
      <c r="BH195" s="126">
        <f t="shared" si="31"/>
        <v>5</v>
      </c>
      <c r="BI195" s="123" t="s">
        <v>4</v>
      </c>
    </row>
    <row r="196" spans="1:61" s="110" customFormat="1" ht="11.25" customHeight="1" x14ac:dyDescent="0.15">
      <c r="A196" s="123" t="s">
        <v>465</v>
      </c>
      <c r="B196" s="123">
        <v>6</v>
      </c>
      <c r="C196" s="126">
        <v>189</v>
      </c>
      <c r="D196" s="124" t="str">
        <f t="shared" si="29"/>
        <v>Hora Cátedra Enseñanza Superior 6 hs</v>
      </c>
      <c r="E196" s="192">
        <f t="shared" si="30"/>
        <v>594</v>
      </c>
      <c r="F196" s="125">
        <f>ROUND(E196*Valores!$C$2,2)</f>
        <v>46092.44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14843.6</v>
      </c>
      <c r="N196" s="125">
        <f t="shared" si="21"/>
        <v>0</v>
      </c>
      <c r="O196" s="125">
        <f>Valores!$C$7*B196</f>
        <v>15788.22</v>
      </c>
      <c r="P196" s="125">
        <f>ROUND(IF(B196&lt;15,(Valores!$E$5*B196),Valores!$D$5),2)</f>
        <v>15867</v>
      </c>
      <c r="Q196" s="125">
        <v>0</v>
      </c>
      <c r="R196" s="125">
        <f>IF($F$4="NO",IF(Valores!$C$50*B196&gt;Valores!$F$47,Valores!$F$47,Valores!$C$50*B196),IF(Valores!$C$50*B196&gt;Valores!$F$47,Valores!$F$47,Valores!$C$50*B196)/2)</f>
        <v>8316.36</v>
      </c>
      <c r="S196" s="125">
        <f>Valores!$C$18*B196</f>
        <v>4965.6000000000004</v>
      </c>
      <c r="T196" s="125">
        <f t="shared" si="28"/>
        <v>4965.6000000000004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IF(Valores!$C$99*B196&gt;Valores!$C$98,Valores!$C$98,Valores!$C$99*B196)</f>
        <v>15159</v>
      </c>
      <c r="AA196" s="125">
        <f>IF((Valores!$C$28)*B196&gt;Valores!$F$28,Valores!$F$28,(Valores!$C$28)*B196)</f>
        <v>390.12</v>
      </c>
      <c r="AB196" s="214">
        <v>0</v>
      </c>
      <c r="AC196" s="125">
        <f t="shared" si="22"/>
        <v>0</v>
      </c>
      <c r="AD196" s="125">
        <f>IF(Valores!$C$29*B196&gt;Valores!$F$29,Valores!$F$29,Valores!$C$29*B196)</f>
        <v>324.84000000000003</v>
      </c>
      <c r="AE196" s="192">
        <v>0</v>
      </c>
      <c r="AF196" s="125">
        <f>ROUND(AE196*Valores!$C$2,2)</f>
        <v>0</v>
      </c>
      <c r="AG196" s="125">
        <f>IF($F$4="NO",IF(Valores!$D$64*'Escala Docente'!B196&gt;Valores!$F$64,Valores!$F$64,Valores!$D$64*'Escala Docente'!B196),IF(Valores!$D$64*'Escala Docente'!B196&gt;Valores!$F$64,Valores!$F$64,Valores!$D$64*'Escala Docente'!B196)/2)+0.01</f>
        <v>7418.9500000000007</v>
      </c>
      <c r="AH196" s="125">
        <f>SUM(F196,H196,J196,L196,M196,N196,O196,P196,Q196,R196,T196,U196,V196,X196,Y196,Z196,AA196,AC196,AD196,AF196,AG196)*Valores!$C$104</f>
        <v>12916.612999999999</v>
      </c>
      <c r="AI196" s="125">
        <f t="shared" si="25"/>
        <v>142082.74299999999</v>
      </c>
      <c r="AJ196" s="125">
        <f>IF(Valores!$C$33*B196&gt;Valores!$F$33,Valores!$F$33,Valores!$C$33*B196)</f>
        <v>13999.999999999978</v>
      </c>
      <c r="AK196" s="125">
        <v>0</v>
      </c>
      <c r="AL196" s="125">
        <f>IF(Valores!$C$92*B196&gt;Valores!$C$91,Valores!$C$91,Valores!$C$92*B196)</f>
        <v>0</v>
      </c>
      <c r="AM196" s="125">
        <f>IF(Valores!C$40*B196&gt;Valores!F$39,Valores!F$39,Valores!C$40*B196)</f>
        <v>0</v>
      </c>
      <c r="AN196" s="125">
        <f>IF($F$3="NO",0,IF(Valores!$C$62*B196&gt;Valores!$F$62,Valores!$F$62,Valores!$C$62*B196))</f>
        <v>0</v>
      </c>
      <c r="AO196" s="125">
        <f t="shared" si="23"/>
        <v>13999.999999999978</v>
      </c>
      <c r="AP196" s="125">
        <f>AI196*Valores!$C$72</f>
        <v>-15629.101729999998</v>
      </c>
      <c r="AQ196" s="125">
        <f>IF(AI196&lt;Valores!$E$73,-0.02,IF(AI196&lt;Valores!$F$73,-0.03,-0.04))*AI196</f>
        <v>-2841.6548599999996</v>
      </c>
      <c r="AR196" s="125">
        <f>AI196*Valores!$C$75</f>
        <v>-7814.5508649999992</v>
      </c>
      <c r="AS196" s="125">
        <f>Valores!$C$102</f>
        <v>-1270.1600000000001</v>
      </c>
      <c r="AT196" s="125">
        <f>IF($F$5=0,Valores!$C$103,(Valores!$C$103+$F$5*(Valores!$C$103)))</f>
        <v>-3700</v>
      </c>
      <c r="AU196" s="125">
        <f t="shared" si="26"/>
        <v>124827.27554499997</v>
      </c>
      <c r="AV196" s="125">
        <f t="shared" si="20"/>
        <v>-15629.101729999998</v>
      </c>
      <c r="AW196" s="125">
        <f t="shared" si="27"/>
        <v>-2841.6548599999996</v>
      </c>
      <c r="AX196" s="125">
        <f>AI196*Valores!$C$76</f>
        <v>-3836.2340609999997</v>
      </c>
      <c r="AY196" s="125">
        <f>AI196*Valores!$C$77</f>
        <v>-426.24822899999998</v>
      </c>
      <c r="AZ196" s="125">
        <f t="shared" si="24"/>
        <v>133349.50411999997</v>
      </c>
      <c r="BA196" s="125">
        <f>AI196*Valores!$C$79</f>
        <v>22733.238879999997</v>
      </c>
      <c r="BB196" s="125">
        <f>AI196*Valores!$C$80</f>
        <v>9945.7920099999992</v>
      </c>
      <c r="BC196" s="125">
        <f>AI196*Valores!$C$81</f>
        <v>1420.8274299999998</v>
      </c>
      <c r="BD196" s="125">
        <f>AI196*Valores!$C$83</f>
        <v>4972.8960049999996</v>
      </c>
      <c r="BE196" s="125">
        <f>AI196*Valores!$C$85</f>
        <v>7672.4681219999993</v>
      </c>
      <c r="BF196" s="125">
        <f>AI196*Valores!$C$84</f>
        <v>852.49645799999996</v>
      </c>
      <c r="BG196" s="126"/>
      <c r="BH196" s="126">
        <f t="shared" si="31"/>
        <v>6</v>
      </c>
      <c r="BI196" s="123" t="s">
        <v>4</v>
      </c>
    </row>
    <row r="197" spans="1:61" s="110" customFormat="1" ht="11.25" customHeight="1" x14ac:dyDescent="0.15">
      <c r="A197" s="123" t="s">
        <v>465</v>
      </c>
      <c r="B197" s="123">
        <v>7</v>
      </c>
      <c r="C197" s="126">
        <v>190</v>
      </c>
      <c r="D197" s="124" t="str">
        <f t="shared" si="29"/>
        <v>Hora Cátedra Enseñanza Superior 7 hs</v>
      </c>
      <c r="E197" s="192">
        <f t="shared" si="30"/>
        <v>693</v>
      </c>
      <c r="F197" s="125">
        <f>ROUND(E197*Valores!$C$2,2)</f>
        <v>53774.51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17317.53</v>
      </c>
      <c r="N197" s="125">
        <f t="shared" si="21"/>
        <v>0</v>
      </c>
      <c r="O197" s="125">
        <f>Valores!$C$7*B197</f>
        <v>18419.59</v>
      </c>
      <c r="P197" s="125">
        <f>ROUND(IF(B197&lt;15,(Valores!$E$5*B197),Valores!$D$5),2)</f>
        <v>18511.5</v>
      </c>
      <c r="Q197" s="125">
        <v>0</v>
      </c>
      <c r="R197" s="125">
        <f>IF($F$4="NO",IF(Valores!$C$50*B197&gt;Valores!$F$47,Valores!$F$47,Valores!$C$50*B197),IF(Valores!$C$50*B197&gt;Valores!$F$47,Valores!$F$47,Valores!$C$50*B197)/2)</f>
        <v>9702.42</v>
      </c>
      <c r="S197" s="125">
        <f>Valores!$C$18*B197</f>
        <v>5793.2</v>
      </c>
      <c r="T197" s="125">
        <f t="shared" si="28"/>
        <v>5793.2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IF(Valores!$C$99*B197&gt;Valores!$C$98,Valores!$C$98,Valores!$C$99*B197)</f>
        <v>17685.5</v>
      </c>
      <c r="AA197" s="125">
        <f>IF((Valores!$C$28)*B197&gt;Valores!$F$28,Valores!$F$28,(Valores!$C$28)*B197)</f>
        <v>455.14</v>
      </c>
      <c r="AB197" s="214">
        <v>0</v>
      </c>
      <c r="AC197" s="125">
        <f t="shared" si="22"/>
        <v>0</v>
      </c>
      <c r="AD197" s="125">
        <f>IF(Valores!$C$29*B197&gt;Valores!$F$29,Valores!$F$29,Valores!$C$29*B197)</f>
        <v>378.98</v>
      </c>
      <c r="AE197" s="192">
        <v>0</v>
      </c>
      <c r="AF197" s="125">
        <f>ROUND(AE197*Valores!$C$2,2)</f>
        <v>0</v>
      </c>
      <c r="AG197" s="125">
        <f>IF($F$4="NO",IF(Valores!$D$64*'Escala Docente'!B197&gt;Valores!$F$64,Valores!$F$64,Valores!$D$64*'Escala Docente'!B197),IF(Valores!$D$64*'Escala Docente'!B197&gt;Valores!$F$64,Valores!$F$64,Valores!$D$64*'Escala Docente'!B197)/2)+0.01</f>
        <v>8655.44</v>
      </c>
      <c r="AH197" s="125">
        <f>SUM(F197,H197,J197,L197,M197,N197,O197,P197,Q197,R197,T197,U197,V197,X197,Y197,Z197,AA197,AC197,AD197,AF197,AG197)*Valores!$C$104</f>
        <v>15069.381000000003</v>
      </c>
      <c r="AI197" s="125">
        <f t="shared" si="25"/>
        <v>165763.19100000002</v>
      </c>
      <c r="AJ197" s="125">
        <f>IF(Valores!$C$33*B197&gt;Valores!$F$33,Valores!$F$33,Valores!$C$33*B197)</f>
        <v>16333.333333333308</v>
      </c>
      <c r="AK197" s="125">
        <v>0</v>
      </c>
      <c r="AL197" s="125">
        <f>IF(Valores!$C$92*B197&gt;Valores!$C$91,Valores!$C$91,Valores!$C$92*B197)</f>
        <v>0</v>
      </c>
      <c r="AM197" s="125">
        <f>IF(Valores!C$40*B197&gt;Valores!F$39,Valores!F$39,Valores!C$40*B197)</f>
        <v>0</v>
      </c>
      <c r="AN197" s="125">
        <f>IF($F$3="NO",0,IF(Valores!$C$62*B197&gt;Valores!$F$62,Valores!$F$62,Valores!$C$62*B197))</f>
        <v>0</v>
      </c>
      <c r="AO197" s="125">
        <f t="shared" si="23"/>
        <v>16333.333333333308</v>
      </c>
      <c r="AP197" s="125">
        <f>AI197*Valores!$C$72</f>
        <v>-18233.951010000001</v>
      </c>
      <c r="AQ197" s="125">
        <f>IF(AI197&lt;Valores!$E$73,-0.02,IF(AI197&lt;Valores!$F$73,-0.03,-0.04))*AI197</f>
        <v>-3315.2638200000006</v>
      </c>
      <c r="AR197" s="125">
        <f>AI197*Valores!$C$75</f>
        <v>-9116.9755050000003</v>
      </c>
      <c r="AS197" s="125">
        <f>Valores!$C$102</f>
        <v>-1270.1600000000001</v>
      </c>
      <c r="AT197" s="125">
        <f>IF($F$5=0,Valores!$C$103,(Valores!$C$103+$F$5*(Valores!$C$103)))</f>
        <v>-3700</v>
      </c>
      <c r="AU197" s="125">
        <f t="shared" si="26"/>
        <v>146460.17399833334</v>
      </c>
      <c r="AV197" s="125">
        <f t="shared" ref="AV197:AV260" si="32">AP197</f>
        <v>-18233.951010000001</v>
      </c>
      <c r="AW197" s="125">
        <f t="shared" si="27"/>
        <v>-3315.2638200000006</v>
      </c>
      <c r="AX197" s="125">
        <f>AI197*Valores!$C$76</f>
        <v>-4475.6061570000002</v>
      </c>
      <c r="AY197" s="125">
        <f>AI197*Valores!$C$77</f>
        <v>-497.28957300000008</v>
      </c>
      <c r="AZ197" s="125">
        <f t="shared" si="24"/>
        <v>155574.41377333333</v>
      </c>
      <c r="BA197" s="125">
        <f>AI197*Valores!$C$79</f>
        <v>26522.110560000005</v>
      </c>
      <c r="BB197" s="125">
        <f>AI197*Valores!$C$80</f>
        <v>11603.423370000002</v>
      </c>
      <c r="BC197" s="125">
        <f>AI197*Valores!$C$81</f>
        <v>1657.6319100000003</v>
      </c>
      <c r="BD197" s="125">
        <f>AI197*Valores!$C$83</f>
        <v>5801.7116850000011</v>
      </c>
      <c r="BE197" s="125">
        <f>AI197*Valores!$C$85</f>
        <v>8951.2123140000003</v>
      </c>
      <c r="BF197" s="125">
        <f>AI197*Valores!$C$84</f>
        <v>994.57914600000015</v>
      </c>
      <c r="BG197" s="126"/>
      <c r="BH197" s="126">
        <f t="shared" si="31"/>
        <v>7</v>
      </c>
      <c r="BI197" s="123" t="s">
        <v>4</v>
      </c>
    </row>
    <row r="198" spans="1:61" s="110" customFormat="1" ht="11.25" customHeight="1" x14ac:dyDescent="0.15">
      <c r="A198" s="123" t="s">
        <v>465</v>
      </c>
      <c r="B198" s="123">
        <v>8</v>
      </c>
      <c r="C198" s="126">
        <v>191</v>
      </c>
      <c r="D198" s="124" t="str">
        <f t="shared" si="29"/>
        <v>Hora Cátedra Enseñanza Superior 8 hs</v>
      </c>
      <c r="E198" s="192">
        <f t="shared" si="30"/>
        <v>792</v>
      </c>
      <c r="F198" s="125">
        <f>ROUND(E198*Valores!$C$2,2)</f>
        <v>61456.59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19791.47</v>
      </c>
      <c r="N198" s="125">
        <f t="shared" si="21"/>
        <v>0</v>
      </c>
      <c r="O198" s="125">
        <f>Valores!$C$7*B198</f>
        <v>21050.959999999999</v>
      </c>
      <c r="P198" s="125">
        <f>ROUND(IF(B198&lt;15,(Valores!$E$5*B198),Valores!$D$5),2)</f>
        <v>21156</v>
      </c>
      <c r="Q198" s="125">
        <v>0</v>
      </c>
      <c r="R198" s="125">
        <f>IF($F$4="NO",IF(Valores!$C$50*B198&gt;Valores!$F$47,Valores!$F$47,Valores!$C$50*B198),IF(Valores!$C$50*B198&gt;Valores!$F$47,Valores!$F$47,Valores!$C$50*B198)/2)</f>
        <v>11088.48</v>
      </c>
      <c r="S198" s="125">
        <f>Valores!$C$18*B198</f>
        <v>6620.8</v>
      </c>
      <c r="T198" s="125">
        <f t="shared" si="28"/>
        <v>6620.8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IF(Valores!$C$99*B198&gt;Valores!$C$98,Valores!$C$98,Valores!$C$99*B198)</f>
        <v>20212</v>
      </c>
      <c r="AA198" s="125">
        <f>IF((Valores!$C$28)*B198&gt;Valores!$F$28,Valores!$F$28,(Valores!$C$28)*B198)</f>
        <v>520.16</v>
      </c>
      <c r="AB198" s="214">
        <v>0</v>
      </c>
      <c r="AC198" s="125">
        <f t="shared" si="22"/>
        <v>0</v>
      </c>
      <c r="AD198" s="125">
        <f>IF(Valores!$C$29*B198&gt;Valores!$F$29,Valores!$F$29,Valores!$C$29*B198)</f>
        <v>433.12</v>
      </c>
      <c r="AE198" s="192">
        <v>0</v>
      </c>
      <c r="AF198" s="125">
        <f>ROUND(AE198*Valores!$C$2,2)</f>
        <v>0</v>
      </c>
      <c r="AG198" s="125">
        <f>IF($F$4="NO",IF(Valores!$D$64*'Escala Docente'!B198&gt;Valores!$F$64,Valores!$F$64,Valores!$D$64*'Escala Docente'!B198),IF(Valores!$D$64*'Escala Docente'!B198&gt;Valores!$F$64,Valores!$F$64,Valores!$D$64*'Escala Docente'!B198)/2)+0.02</f>
        <v>9891.94</v>
      </c>
      <c r="AH198" s="125">
        <f>SUM(F198,H198,J198,L198,M198,N198,O198,P198,Q198,R198,T198,U198,V198,X198,Y198,Z198,AA198,AC198,AD198,AF198,AG198)*Valores!$C$104</f>
        <v>17222.151999999998</v>
      </c>
      <c r="AI198" s="125">
        <f t="shared" si="25"/>
        <v>189443.67199999999</v>
      </c>
      <c r="AJ198" s="125">
        <f>IF(Valores!$C$33*B198&gt;Valores!$F$33,Valores!$F$33,Valores!$C$33*B198)</f>
        <v>18666.666666666639</v>
      </c>
      <c r="AK198" s="125">
        <v>0</v>
      </c>
      <c r="AL198" s="125">
        <f>IF(Valores!$C$92*B198&gt;Valores!$C$91,Valores!$C$91,Valores!$C$92*B198)</f>
        <v>0</v>
      </c>
      <c r="AM198" s="125">
        <f>IF(Valores!C$40*B198&gt;Valores!F$39,Valores!F$39,Valores!C$40*B198)</f>
        <v>0</v>
      </c>
      <c r="AN198" s="125">
        <f>IF($F$3="NO",0,IF(Valores!$C$62*B198&gt;Valores!$F$62,Valores!$F$62,Valores!$C$62*B198))</f>
        <v>0</v>
      </c>
      <c r="AO198" s="125">
        <f t="shared" si="23"/>
        <v>18666.666666666639</v>
      </c>
      <c r="AP198" s="125">
        <f>AI198*Valores!$C$72</f>
        <v>-20838.803919999998</v>
      </c>
      <c r="AQ198" s="125">
        <f>IF(AI198&lt;Valores!$E$73,-0.02,IF(AI198&lt;Valores!$F$73,-0.03,-0.04))*AI198</f>
        <v>-3788.8734399999998</v>
      </c>
      <c r="AR198" s="125">
        <f>AI198*Valores!$C$75</f>
        <v>-10419.401959999999</v>
      </c>
      <c r="AS198" s="125">
        <f>Valores!$C$102</f>
        <v>-1270.1600000000001</v>
      </c>
      <c r="AT198" s="125">
        <f>IF($F$5=0,Valores!$C$103,(Valores!$C$103+$F$5*(Valores!$C$103)))</f>
        <v>-3700</v>
      </c>
      <c r="AU198" s="125">
        <f t="shared" si="26"/>
        <v>168093.09934666663</v>
      </c>
      <c r="AV198" s="125">
        <f t="shared" si="32"/>
        <v>-20838.803919999998</v>
      </c>
      <c r="AW198" s="125">
        <f t="shared" si="27"/>
        <v>-3788.8734399999998</v>
      </c>
      <c r="AX198" s="125">
        <f>AI198*Valores!$C$76</f>
        <v>-5114.9791439999999</v>
      </c>
      <c r="AY198" s="125">
        <f>AI198*Valores!$C$77</f>
        <v>-568.33101599999998</v>
      </c>
      <c r="AZ198" s="125">
        <f t="shared" si="24"/>
        <v>177799.35114666662</v>
      </c>
      <c r="BA198" s="125">
        <f>AI198*Valores!$C$79</f>
        <v>30310.987519999999</v>
      </c>
      <c r="BB198" s="125">
        <f>AI198*Valores!$C$80</f>
        <v>13261.057040000002</v>
      </c>
      <c r="BC198" s="125">
        <f>AI198*Valores!$C$81</f>
        <v>1894.4367199999999</v>
      </c>
      <c r="BD198" s="125">
        <f>AI198*Valores!$C$83</f>
        <v>6630.5285200000008</v>
      </c>
      <c r="BE198" s="125">
        <f>AI198*Valores!$C$85</f>
        <v>10229.958288</v>
      </c>
      <c r="BF198" s="125">
        <f>AI198*Valores!$C$84</f>
        <v>1136.662032</v>
      </c>
      <c r="BG198" s="126"/>
      <c r="BH198" s="126">
        <f t="shared" si="31"/>
        <v>8</v>
      </c>
      <c r="BI198" s="123" t="s">
        <v>4</v>
      </c>
    </row>
    <row r="199" spans="1:61" s="110" customFormat="1" ht="11.25" customHeight="1" x14ac:dyDescent="0.15">
      <c r="A199" s="123" t="s">
        <v>465</v>
      </c>
      <c r="B199" s="123">
        <v>9</v>
      </c>
      <c r="C199" s="126">
        <v>192</v>
      </c>
      <c r="D199" s="124" t="str">
        <f t="shared" si="29"/>
        <v>Hora Cátedra Enseñanza Superior 9 hs</v>
      </c>
      <c r="E199" s="192">
        <f t="shared" si="30"/>
        <v>891</v>
      </c>
      <c r="F199" s="125">
        <f>ROUND(E199*Valores!$C$2,2)</f>
        <v>69138.66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22265.4</v>
      </c>
      <c r="N199" s="125">
        <f t="shared" si="21"/>
        <v>0</v>
      </c>
      <c r="O199" s="125">
        <f>Valores!$C$7*B199</f>
        <v>23682.329999999998</v>
      </c>
      <c r="P199" s="125">
        <f>ROUND(IF(B199&lt;15,(Valores!$E$5*B199),Valores!$D$5),2)</f>
        <v>23800.5</v>
      </c>
      <c r="Q199" s="125">
        <v>0</v>
      </c>
      <c r="R199" s="125">
        <f>IF($F$4="NO",IF(Valores!$C$50*B199&gt;Valores!$F$47,Valores!$F$47,Valores!$C$50*B199),IF(Valores!$C$50*B199&gt;Valores!$F$47,Valores!$F$47,Valores!$C$50*B199)/2)</f>
        <v>12474.539999999999</v>
      </c>
      <c r="S199" s="125">
        <f>Valores!$C$18*B199</f>
        <v>7448.4000000000005</v>
      </c>
      <c r="T199" s="125">
        <f t="shared" si="28"/>
        <v>7448.4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IF(Valores!$C$99*B199&gt;Valores!$C$98,Valores!$C$98,Valores!$C$99*B199)</f>
        <v>22738.5</v>
      </c>
      <c r="AA199" s="125">
        <f>IF((Valores!$C$28)*B199&gt;Valores!$F$28,Valores!$F$28,(Valores!$C$28)*B199)</f>
        <v>585.17999999999995</v>
      </c>
      <c r="AB199" s="214">
        <v>0</v>
      </c>
      <c r="AC199" s="125">
        <f t="shared" si="22"/>
        <v>0</v>
      </c>
      <c r="AD199" s="125">
        <f>IF(Valores!$C$29*B199&gt;Valores!$F$29,Valores!$F$29,Valores!$C$29*B199)</f>
        <v>487.26</v>
      </c>
      <c r="AE199" s="192">
        <v>0</v>
      </c>
      <c r="AF199" s="125">
        <f>ROUND(AE199*Valores!$C$2,2)</f>
        <v>0</v>
      </c>
      <c r="AG199" s="125">
        <f>IF($F$4="NO",IF(Valores!$D$64*'Escala Docente'!B199&gt;Valores!$F$64,Valores!$F$64,Valores!$D$64*'Escala Docente'!B199),IF(Valores!$D$64*'Escala Docente'!B199&gt;Valores!$F$64,Valores!$F$64,Valores!$D$64*'Escala Docente'!B199)/2)+0.02</f>
        <v>11128.43</v>
      </c>
      <c r="AH199" s="125">
        <f>SUM(F199,H199,J199,L199,M199,N199,O199,P199,Q199,R199,T199,U199,V199,X199,Y199,Z199,AA199,AC199,AD199,AF199,AG199)*Valores!$C$104</f>
        <v>19374.920000000002</v>
      </c>
      <c r="AI199" s="125">
        <f t="shared" si="25"/>
        <v>213124.12000000002</v>
      </c>
      <c r="AJ199" s="125">
        <f>IF(Valores!$C$33*B199&gt;Valores!$F$33,Valores!$F$33,Valores!$C$33*B199)</f>
        <v>20999.999999999967</v>
      </c>
      <c r="AK199" s="125">
        <v>0</v>
      </c>
      <c r="AL199" s="125">
        <f>IF(Valores!$C$92*B199&gt;Valores!$C$91,Valores!$C$91,Valores!$C$92*B199)</f>
        <v>0</v>
      </c>
      <c r="AM199" s="125">
        <f>IF(Valores!C$40*B199&gt;Valores!F$39,Valores!F$39,Valores!C$40*B199)</f>
        <v>0</v>
      </c>
      <c r="AN199" s="125">
        <f>IF($F$3="NO",0,IF(Valores!$C$62*B199&gt;Valores!$F$62,Valores!$F$62,Valores!$C$62*B199))</f>
        <v>0</v>
      </c>
      <c r="AO199" s="125">
        <f t="shared" si="23"/>
        <v>20999.999999999967</v>
      </c>
      <c r="AP199" s="125">
        <f>AI199*Valores!$C$72</f>
        <v>-23443.653200000004</v>
      </c>
      <c r="AQ199" s="125">
        <f>IF(AI199&lt;Valores!$E$73,-0.02,IF(AI199&lt;Valores!$F$73,-0.03,-0.04))*AI199</f>
        <v>-4262.4824000000008</v>
      </c>
      <c r="AR199" s="125">
        <f>AI199*Valores!$C$75</f>
        <v>-11721.826600000002</v>
      </c>
      <c r="AS199" s="125">
        <f>Valores!$C$102</f>
        <v>-1270.1600000000001</v>
      </c>
      <c r="AT199" s="125">
        <f>IF($F$5=0,Valores!$C$103,(Valores!$C$103+$F$5*(Valores!$C$103)))</f>
        <v>-3700</v>
      </c>
      <c r="AU199" s="125">
        <f t="shared" si="26"/>
        <v>189725.99779999998</v>
      </c>
      <c r="AV199" s="125">
        <f t="shared" si="32"/>
        <v>-23443.653200000004</v>
      </c>
      <c r="AW199" s="125">
        <f t="shared" si="27"/>
        <v>-4262.4824000000008</v>
      </c>
      <c r="AX199" s="125">
        <f>AI199*Valores!$C$76</f>
        <v>-5754.3512400000009</v>
      </c>
      <c r="AY199" s="125">
        <f>AI199*Valores!$C$77</f>
        <v>-639.37236000000007</v>
      </c>
      <c r="AZ199" s="125">
        <f t="shared" si="24"/>
        <v>200024.26079999999</v>
      </c>
      <c r="BA199" s="125">
        <f>AI199*Valores!$C$79</f>
        <v>34099.859200000006</v>
      </c>
      <c r="BB199" s="125">
        <f>AI199*Valores!$C$80</f>
        <v>14918.688400000003</v>
      </c>
      <c r="BC199" s="125">
        <f>AI199*Valores!$C$81</f>
        <v>2131.2412000000004</v>
      </c>
      <c r="BD199" s="125">
        <f>AI199*Valores!$C$83</f>
        <v>7459.3442000000014</v>
      </c>
      <c r="BE199" s="125">
        <f>AI199*Valores!$C$85</f>
        <v>11508.702480000002</v>
      </c>
      <c r="BF199" s="125">
        <f>AI199*Valores!$C$84</f>
        <v>1278.7447200000001</v>
      </c>
      <c r="BG199" s="126"/>
      <c r="BH199" s="126">
        <f t="shared" si="31"/>
        <v>9</v>
      </c>
      <c r="BI199" s="123" t="s">
        <v>4</v>
      </c>
    </row>
    <row r="200" spans="1:61" s="110" customFormat="1" ht="11.25" customHeight="1" x14ac:dyDescent="0.15">
      <c r="A200" s="123" t="s">
        <v>465</v>
      </c>
      <c r="B200" s="123">
        <v>10</v>
      </c>
      <c r="C200" s="126">
        <v>193</v>
      </c>
      <c r="D200" s="124" t="str">
        <f t="shared" si="29"/>
        <v>Hora Cátedra Enseñanza Superior 10 hs</v>
      </c>
      <c r="E200" s="192">
        <f t="shared" si="30"/>
        <v>990</v>
      </c>
      <c r="F200" s="125">
        <f>ROUND(E200*Valores!$C$2,2)</f>
        <v>76820.73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24739.33</v>
      </c>
      <c r="N200" s="125">
        <f t="shared" ref="N200:N263" si="33">ROUND(SUM(F200,H200,J200,L200,X200,R200)*$H$2,2)</f>
        <v>0</v>
      </c>
      <c r="O200" s="125">
        <f>Valores!$C$7*B200</f>
        <v>26313.699999999997</v>
      </c>
      <c r="P200" s="125">
        <f>ROUND(IF(B200&lt;15,(Valores!$E$5*B200),Valores!$D$5),2)</f>
        <v>26445</v>
      </c>
      <c r="Q200" s="125">
        <v>0</v>
      </c>
      <c r="R200" s="125">
        <f>IF($F$4="NO",IF(Valores!$C$50*B200&gt;Valores!$F$47,Valores!$F$47,Valores!$C$50*B200),IF(Valores!$C$50*B200&gt;Valores!$F$47,Valores!$F$47,Valores!$C$50*B200)/2)</f>
        <v>13860.599999999999</v>
      </c>
      <c r="S200" s="125">
        <f>Valores!$C$18*B200</f>
        <v>8276</v>
      </c>
      <c r="T200" s="125">
        <f t="shared" si="28"/>
        <v>8276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IF(Valores!$C$99*B200&gt;Valores!$C$98,Valores!$C$98,Valores!$C$99*B200)</f>
        <v>25265</v>
      </c>
      <c r="AA200" s="125">
        <f>IF((Valores!$C$28)*B200&gt;Valores!$F$28,Valores!$F$28,(Valores!$C$28)*B200)</f>
        <v>650.19999999999993</v>
      </c>
      <c r="AB200" s="214">
        <v>0</v>
      </c>
      <c r="AC200" s="125">
        <f t="shared" ref="AC200:AC263" si="34">ROUND(SUM(F200,H200,J200,X200,R200)*AB200,2)</f>
        <v>0</v>
      </c>
      <c r="AD200" s="125">
        <f>IF(Valores!$C$29*B200&gt;Valores!$F$29,Valores!$F$29,Valores!$C$29*B200)</f>
        <v>541.4</v>
      </c>
      <c r="AE200" s="192">
        <v>0</v>
      </c>
      <c r="AF200" s="125">
        <f>ROUND(AE200*Valores!$C$2,2)</f>
        <v>0</v>
      </c>
      <c r="AG200" s="125">
        <f>IF($F$4="NO",IF(Valores!$D$64*'Escala Docente'!B200&gt;Valores!$F$64,Valores!$F$64,Valores!$D$64*'Escala Docente'!B200),IF(Valores!$D$64*'Escala Docente'!B200&gt;Valores!$F$64,Valores!$F$64,Valores!$D$64*'Escala Docente'!B200)/2)+0.02</f>
        <v>12364.92</v>
      </c>
      <c r="AH200" s="125">
        <f>SUM(F200,H200,J200,L200,M200,N200,O200,P200,Q200,R200,T200,U200,V200,X200,Y200,Z200,AA200,AC200,AD200,AF200,AG200)*Valores!$C$104</f>
        <v>21527.688000000006</v>
      </c>
      <c r="AI200" s="125">
        <f t="shared" si="25"/>
        <v>236804.56800000003</v>
      </c>
      <c r="AJ200" s="125">
        <f>IF(Valores!$C$33*B200&gt;Valores!$F$33,Valores!$F$33,Valores!$C$33*B200)</f>
        <v>23333.333333333299</v>
      </c>
      <c r="AK200" s="125">
        <v>0</v>
      </c>
      <c r="AL200" s="125">
        <f>IF(Valores!$C$92*B200&gt;Valores!$C$91,Valores!$C$91,Valores!$C$92*B200)</f>
        <v>0</v>
      </c>
      <c r="AM200" s="125">
        <f>IF(Valores!C$40*B200&gt;Valores!F$39,Valores!F$39,Valores!C$40*B200)</f>
        <v>0</v>
      </c>
      <c r="AN200" s="125">
        <f>IF($F$3="NO",0,IF(Valores!$C$62*B200&gt;Valores!$F$62,Valores!$F$62,Valores!$C$62*B200))</f>
        <v>0</v>
      </c>
      <c r="AO200" s="125">
        <f t="shared" ref="AO200:AO263" si="35">SUM(AJ200:AN200)</f>
        <v>23333.333333333299</v>
      </c>
      <c r="AP200" s="125">
        <f>AI200*Valores!$C$72</f>
        <v>-26048.502480000003</v>
      </c>
      <c r="AQ200" s="125">
        <f>IF(AI200&lt;Valores!$E$73,-0.02,IF(AI200&lt;Valores!$F$73,-0.03,-0.04))*AI200</f>
        <v>-4736.0913600000003</v>
      </c>
      <c r="AR200" s="125">
        <f>AI200*Valores!$C$75</f>
        <v>-13024.251240000001</v>
      </c>
      <c r="AS200" s="125">
        <f>Valores!$C$102</f>
        <v>-1270.1600000000001</v>
      </c>
      <c r="AT200" s="125">
        <f>IF($F$5=0,Valores!$C$103,(Valores!$C$103+$F$5*(Valores!$C$103)))</f>
        <v>-3700</v>
      </c>
      <c r="AU200" s="125">
        <f t="shared" si="26"/>
        <v>211358.89625333331</v>
      </c>
      <c r="AV200" s="125">
        <f t="shared" si="32"/>
        <v>-26048.502480000003</v>
      </c>
      <c r="AW200" s="125">
        <f t="shared" si="27"/>
        <v>-4736.0913600000003</v>
      </c>
      <c r="AX200" s="125">
        <f>AI200*Valores!$C$76</f>
        <v>-6393.7233360000009</v>
      </c>
      <c r="AY200" s="125">
        <f>AI200*Valores!$C$77</f>
        <v>-710.41370400000005</v>
      </c>
      <c r="AZ200" s="125">
        <f t="shared" ref="AZ200:AZ263" si="36">AI200+AO200+SUM(AV200:AY200)</f>
        <v>222249.17045333335</v>
      </c>
      <c r="BA200" s="125">
        <f>AI200*Valores!$C$79</f>
        <v>37888.730880000003</v>
      </c>
      <c r="BB200" s="125">
        <f>AI200*Valores!$C$80</f>
        <v>16576.319760000002</v>
      </c>
      <c r="BC200" s="125">
        <f>AI200*Valores!$C$81</f>
        <v>2368.0456800000002</v>
      </c>
      <c r="BD200" s="125">
        <f>AI200*Valores!$C$83</f>
        <v>8288.1598800000011</v>
      </c>
      <c r="BE200" s="125">
        <f>AI200*Valores!$C$85</f>
        <v>12787.446672000002</v>
      </c>
      <c r="BF200" s="125">
        <f>AI200*Valores!$C$84</f>
        <v>1420.8274080000001</v>
      </c>
      <c r="BG200" s="126"/>
      <c r="BH200" s="126">
        <f t="shared" si="31"/>
        <v>10</v>
      </c>
      <c r="BI200" s="123" t="s">
        <v>4</v>
      </c>
    </row>
    <row r="201" spans="1:61" s="110" customFormat="1" ht="11.25" customHeight="1" x14ac:dyDescent="0.15">
      <c r="A201" s="123" t="s">
        <v>465</v>
      </c>
      <c r="B201" s="123">
        <v>11</v>
      </c>
      <c r="C201" s="126">
        <v>194</v>
      </c>
      <c r="D201" s="124" t="str">
        <f t="shared" si="29"/>
        <v>Hora Cátedra Enseñanza Superior 11 hs</v>
      </c>
      <c r="E201" s="192">
        <f t="shared" si="30"/>
        <v>1089</v>
      </c>
      <c r="F201" s="125">
        <f>ROUND(E201*Valores!$C$2,2)</f>
        <v>84502.81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27213.27</v>
      </c>
      <c r="N201" s="125">
        <f t="shared" si="33"/>
        <v>0</v>
      </c>
      <c r="O201" s="125">
        <f>Valores!$C$7*B201</f>
        <v>28945.07</v>
      </c>
      <c r="P201" s="125">
        <f>ROUND(IF(B201&lt;15,(Valores!$E$5*B201),Valores!$D$5),2)</f>
        <v>29089.5</v>
      </c>
      <c r="Q201" s="125">
        <v>0</v>
      </c>
      <c r="R201" s="125">
        <f>IF($F$4="NO",IF(Valores!$C$50*B201&gt;Valores!$F$47,Valores!$F$47,Valores!$C$50*B201),IF(Valores!$C$50*B201&gt;Valores!$F$47,Valores!$F$47,Valores!$C$50*B201)/2)</f>
        <v>15246.66</v>
      </c>
      <c r="S201" s="125">
        <f>Valores!$C$18*B201</f>
        <v>9103.6</v>
      </c>
      <c r="T201" s="125">
        <f t="shared" si="28"/>
        <v>9103.6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IF(Valores!$C$99*B201&gt;Valores!$C$98,Valores!$C$98,Valores!$C$99*B201)</f>
        <v>27791.5</v>
      </c>
      <c r="AA201" s="125">
        <f>IF((Valores!$C$28)*B201&gt;Valores!$F$28,Valores!$F$28,(Valores!$C$28)*B201)</f>
        <v>715.21999999999991</v>
      </c>
      <c r="AB201" s="214">
        <v>0</v>
      </c>
      <c r="AC201" s="125">
        <f t="shared" si="34"/>
        <v>0</v>
      </c>
      <c r="AD201" s="125">
        <f>IF(Valores!$C$29*B201&gt;Valores!$F$29,Valores!$F$29,Valores!$C$29*B201)</f>
        <v>595.54</v>
      </c>
      <c r="AE201" s="192">
        <v>0</v>
      </c>
      <c r="AF201" s="125">
        <f>ROUND(AE201*Valores!$C$2,2)</f>
        <v>0</v>
      </c>
      <c r="AG201" s="125">
        <f>IF($F$4="NO",IF(Valores!$D$64*'Escala Docente'!B201&gt;Valores!$F$64,Valores!$F$64,Valores!$D$64*'Escala Docente'!B201),IF(Valores!$D$64*'Escala Docente'!B201&gt;Valores!$F$64,Valores!$F$64,Valores!$D$64*'Escala Docente'!B201)/2)+0.02</f>
        <v>13601.41</v>
      </c>
      <c r="AH201" s="125">
        <f>SUM(F201,H201,J201,L201,M201,N201,O201,P201,Q201,R201,T201,U201,V201,X201,Y201,Z201,AA201,AC201,AD201,AF201,AG201)*Valores!$C$104</f>
        <v>23680.458000000002</v>
      </c>
      <c r="AI201" s="125">
        <f t="shared" ref="AI201:AI264" si="37">SUM(F201,H201,J201,L201,M201,N201,O201,P201,Q201,R201,T201,U201,V201,X201,Y201,Z201,AA201,AC201,AD201,AF201,AG201,AH201)</f>
        <v>260485.03800000003</v>
      </c>
      <c r="AJ201" s="125">
        <f>IF(Valores!$C$33*B201&gt;Valores!$F$33,Valores!$F$33,Valores!$C$33*B201)</f>
        <v>25666.666666666628</v>
      </c>
      <c r="AK201" s="125">
        <v>0</v>
      </c>
      <c r="AL201" s="125">
        <f>IF(Valores!$C$92*B201&gt;Valores!$C$91,Valores!$C$91,Valores!$C$92*B201)</f>
        <v>0</v>
      </c>
      <c r="AM201" s="125">
        <f>IF(Valores!C$40*B201&gt;Valores!F$39,Valores!F$39,Valores!C$40*B201)</f>
        <v>0</v>
      </c>
      <c r="AN201" s="125">
        <f>IF($F$3="NO",0,IF(Valores!$C$62*B201&gt;Valores!$F$62,Valores!$F$62,Valores!$C$62*B201))</f>
        <v>0</v>
      </c>
      <c r="AO201" s="125">
        <f t="shared" si="35"/>
        <v>25666.666666666628</v>
      </c>
      <c r="AP201" s="125">
        <f>AI201*Valores!$C$72</f>
        <v>-28653.354180000002</v>
      </c>
      <c r="AQ201" s="125">
        <f>IF(AI201&lt;Valores!$E$73,-0.02,IF(AI201&lt;Valores!$F$73,-0.03,-0.04))*AI201</f>
        <v>-5209.7007600000006</v>
      </c>
      <c r="AR201" s="125">
        <f>AI201*Valores!$C$75</f>
        <v>-14326.677090000001</v>
      </c>
      <c r="AS201" s="125">
        <f>Valores!$C$102</f>
        <v>-1270.1600000000001</v>
      </c>
      <c r="AT201" s="125">
        <f>IF($F$5=0,Valores!$C$103,(Valores!$C$103+$F$5*(Valores!$C$103)))</f>
        <v>-3700</v>
      </c>
      <c r="AU201" s="125">
        <f t="shared" ref="AU201:AU264" si="38">AI201+SUM(AO201:AT201)</f>
        <v>232991.81263666664</v>
      </c>
      <c r="AV201" s="125">
        <f t="shared" si="32"/>
        <v>-28653.354180000002</v>
      </c>
      <c r="AW201" s="125">
        <f t="shared" ref="AW201:AW264" si="39">AQ201</f>
        <v>-5209.7007600000006</v>
      </c>
      <c r="AX201" s="125">
        <f>AI201*Valores!$C$76</f>
        <v>-7033.0960260000011</v>
      </c>
      <c r="AY201" s="125">
        <f>AI201*Valores!$C$77</f>
        <v>-781.45511400000009</v>
      </c>
      <c r="AZ201" s="125">
        <f t="shared" si="36"/>
        <v>244474.09858666669</v>
      </c>
      <c r="BA201" s="125">
        <f>AI201*Valores!$C$79</f>
        <v>41677.606080000005</v>
      </c>
      <c r="BB201" s="125">
        <f>AI201*Valores!$C$80</f>
        <v>18233.952660000003</v>
      </c>
      <c r="BC201" s="125">
        <f>AI201*Valores!$C$81</f>
        <v>2604.8503800000003</v>
      </c>
      <c r="BD201" s="125">
        <f>AI201*Valores!$C$83</f>
        <v>9116.9763300000013</v>
      </c>
      <c r="BE201" s="125">
        <f>AI201*Valores!$C$85</f>
        <v>14066.192052000002</v>
      </c>
      <c r="BF201" s="125">
        <f>AI201*Valores!$C$84</f>
        <v>1562.9102280000002</v>
      </c>
      <c r="BG201" s="126"/>
      <c r="BH201" s="126">
        <f t="shared" si="31"/>
        <v>11</v>
      </c>
      <c r="BI201" s="123" t="s">
        <v>4</v>
      </c>
    </row>
    <row r="202" spans="1:61" s="110" customFormat="1" ht="11.25" customHeight="1" x14ac:dyDescent="0.15">
      <c r="A202" s="123" t="s">
        <v>465</v>
      </c>
      <c r="B202" s="123">
        <v>12</v>
      </c>
      <c r="C202" s="126">
        <v>195</v>
      </c>
      <c r="D202" s="124" t="str">
        <f t="shared" si="29"/>
        <v>Hora Cátedra Enseñanza Superior 12 hs</v>
      </c>
      <c r="E202" s="192">
        <f t="shared" si="30"/>
        <v>1188</v>
      </c>
      <c r="F202" s="125">
        <f>ROUND(E202*Valores!$C$2,2)</f>
        <v>92184.88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29687.200000000001</v>
      </c>
      <c r="N202" s="125">
        <f t="shared" si="33"/>
        <v>0</v>
      </c>
      <c r="O202" s="125">
        <f>Valores!$C$7*B202</f>
        <v>31576.44</v>
      </c>
      <c r="P202" s="125">
        <f>ROUND(IF(B202&lt;15,(Valores!$E$5*B202),Valores!$D$5),2)</f>
        <v>31734</v>
      </c>
      <c r="Q202" s="125">
        <v>0</v>
      </c>
      <c r="R202" s="125">
        <f>IF($F$4="NO",IF(Valores!$C$50*B202&gt;Valores!$F$47,Valores!$F$47,Valores!$C$50*B202),IF(Valores!$C$50*B202&gt;Valores!$F$47,Valores!$F$47,Valores!$C$50*B202)/2)</f>
        <v>16632.72</v>
      </c>
      <c r="S202" s="125">
        <f>Valores!$C$18*B202</f>
        <v>9931.2000000000007</v>
      </c>
      <c r="T202" s="125">
        <f t="shared" si="28"/>
        <v>9931.2000000000007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IF(Valores!$C$99*B202&gt;Valores!$C$98,Valores!$C$98,Valores!$C$99*B202)</f>
        <v>30318</v>
      </c>
      <c r="AA202" s="125">
        <f>IF((Valores!$C$28)*B202&gt;Valores!$F$28,Valores!$F$28,(Valores!$C$28)*B202)</f>
        <v>780.24</v>
      </c>
      <c r="AB202" s="214">
        <v>0</v>
      </c>
      <c r="AC202" s="125">
        <f t="shared" si="34"/>
        <v>0</v>
      </c>
      <c r="AD202" s="125">
        <f>IF(Valores!$C$29*B202&gt;Valores!$F$29,Valores!$F$29,Valores!$C$29*B202)</f>
        <v>649.68000000000006</v>
      </c>
      <c r="AE202" s="192">
        <v>0</v>
      </c>
      <c r="AF202" s="125">
        <f>ROUND(AE202*Valores!$C$2,2)</f>
        <v>0</v>
      </c>
      <c r="AG202" s="125">
        <f>IF($F$4="NO",IF(Valores!$D$64*'Escala Docente'!B202&gt;Valores!$F$64,Valores!$F$64,Valores!$D$64*'Escala Docente'!B202),IF(Valores!$D$64*'Escala Docente'!B202&gt;Valores!$F$64,Valores!$F$64,Valores!$D$64*'Escala Docente'!B202)/2)+0.02</f>
        <v>14837.900000000001</v>
      </c>
      <c r="AH202" s="125">
        <f>SUM(F202,H202,J202,L202,M202,N202,O202,P202,Q202,R202,T202,U202,V202,X202,Y202,Z202,AA202,AC202,AD202,AF202,AG202)*Valores!$C$104</f>
        <v>25833.225999999999</v>
      </c>
      <c r="AI202" s="125">
        <f t="shared" si="37"/>
        <v>284165.48599999998</v>
      </c>
      <c r="AJ202" s="125">
        <f>IF(Valores!$C$33*B202&gt;Valores!$F$33,Valores!$F$33,Valores!$C$33*B202)</f>
        <v>27999.999999999956</v>
      </c>
      <c r="AK202" s="125">
        <v>0</v>
      </c>
      <c r="AL202" s="125">
        <f>IF(Valores!$C$92*B202&gt;Valores!$C$91,Valores!$C$91,Valores!$C$92*B202)</f>
        <v>0</v>
      </c>
      <c r="AM202" s="125">
        <f>IF(Valores!C$40*B202&gt;Valores!F$39,Valores!F$39,Valores!C$40*B202)</f>
        <v>0</v>
      </c>
      <c r="AN202" s="125">
        <f>IF($F$3="NO",0,IF(Valores!$C$62*B202&gt;Valores!$F$62,Valores!$F$62,Valores!$C$62*B202))</f>
        <v>0</v>
      </c>
      <c r="AO202" s="125">
        <f t="shared" si="35"/>
        <v>27999.999999999956</v>
      </c>
      <c r="AP202" s="125">
        <f>AI202*Valores!$C$72</f>
        <v>-31258.203459999997</v>
      </c>
      <c r="AQ202" s="125">
        <f>IF(AI202&lt;Valores!$E$73,-0.02,IF(AI202&lt;Valores!$F$73,-0.03,-0.04))*AI202</f>
        <v>-5683.3097199999993</v>
      </c>
      <c r="AR202" s="125">
        <f>AI202*Valores!$C$75</f>
        <v>-15629.101729999998</v>
      </c>
      <c r="AS202" s="125">
        <f>Valores!$C$102</f>
        <v>-1270.1600000000001</v>
      </c>
      <c r="AT202" s="125">
        <f>IF($F$5=0,Valores!$C$103,(Valores!$C$103+$F$5*(Valores!$C$103)))</f>
        <v>-3700</v>
      </c>
      <c r="AU202" s="125">
        <f t="shared" si="38"/>
        <v>254624.71108999994</v>
      </c>
      <c r="AV202" s="125">
        <f t="shared" si="32"/>
        <v>-31258.203459999997</v>
      </c>
      <c r="AW202" s="125">
        <f t="shared" si="39"/>
        <v>-5683.3097199999993</v>
      </c>
      <c r="AX202" s="125">
        <f>AI202*Valores!$C$76</f>
        <v>-7672.4681219999993</v>
      </c>
      <c r="AY202" s="125">
        <f>AI202*Valores!$C$77</f>
        <v>-852.49645799999996</v>
      </c>
      <c r="AZ202" s="125">
        <f t="shared" si="36"/>
        <v>266699.00823999994</v>
      </c>
      <c r="BA202" s="125">
        <f>AI202*Valores!$C$79</f>
        <v>45466.477759999994</v>
      </c>
      <c r="BB202" s="125">
        <f>AI202*Valores!$C$80</f>
        <v>19891.584019999998</v>
      </c>
      <c r="BC202" s="125">
        <f>AI202*Valores!$C$81</f>
        <v>2841.6548599999996</v>
      </c>
      <c r="BD202" s="125">
        <f>AI202*Valores!$C$83</f>
        <v>9945.7920099999992</v>
      </c>
      <c r="BE202" s="125">
        <f>AI202*Valores!$C$85</f>
        <v>15344.936243999999</v>
      </c>
      <c r="BF202" s="125">
        <f>AI202*Valores!$C$84</f>
        <v>1704.9929159999999</v>
      </c>
      <c r="BG202" s="126"/>
      <c r="BH202" s="126">
        <f t="shared" si="31"/>
        <v>12</v>
      </c>
      <c r="BI202" s="123" t="s">
        <v>4</v>
      </c>
    </row>
    <row r="203" spans="1:61" s="110" customFormat="1" ht="11.25" customHeight="1" x14ac:dyDescent="0.15">
      <c r="A203" s="123" t="s">
        <v>465</v>
      </c>
      <c r="B203" s="123">
        <v>13</v>
      </c>
      <c r="C203" s="126">
        <v>196</v>
      </c>
      <c r="D203" s="124" t="str">
        <f t="shared" si="29"/>
        <v>Hora Cátedra Enseñanza Superior 13 hs</v>
      </c>
      <c r="E203" s="192">
        <f t="shared" si="30"/>
        <v>1287</v>
      </c>
      <c r="F203" s="125">
        <f>ROUND(E203*Valores!$C$2,2)</f>
        <v>99866.95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32161.13</v>
      </c>
      <c r="N203" s="125">
        <f t="shared" si="33"/>
        <v>0</v>
      </c>
      <c r="O203" s="125">
        <f>Valores!$C$7*B203</f>
        <v>34207.81</v>
      </c>
      <c r="P203" s="125">
        <f>ROUND(IF(B203&lt;15,(Valores!$E$5*B203),Valores!$D$5),2)</f>
        <v>34378.5</v>
      </c>
      <c r="Q203" s="125">
        <v>0</v>
      </c>
      <c r="R203" s="125">
        <f>IF($F$4="NO",IF(Valores!$C$50*B203&gt;Valores!$F$47,Valores!$F$47,Valores!$C$50*B203),IF(Valores!$C$50*B203&gt;Valores!$F$47,Valores!$F$47,Valores!$C$50*B203)/2)</f>
        <v>18018.78</v>
      </c>
      <c r="S203" s="125">
        <f>Valores!$C$18*B203</f>
        <v>10758.800000000001</v>
      </c>
      <c r="T203" s="125">
        <f t="shared" ref="T203:T266" si="40">ROUND(S203*(1+$H$2),2)</f>
        <v>10758.8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IF(Valores!$C$99*B203&gt;Valores!$C$98,Valores!$C$98,Valores!$C$99*B203)</f>
        <v>32844.5</v>
      </c>
      <c r="AA203" s="125">
        <f>IF((Valores!$C$28)*B203&gt;Valores!$F$28,Valores!$F$28,(Valores!$C$28)*B203)</f>
        <v>845.26</v>
      </c>
      <c r="AB203" s="214">
        <v>0</v>
      </c>
      <c r="AC203" s="125">
        <f t="shared" si="34"/>
        <v>0</v>
      </c>
      <c r="AD203" s="125">
        <f>IF(Valores!$C$29*B203&gt;Valores!$F$29,Valores!$F$29,Valores!$C$29*B203)</f>
        <v>703.82</v>
      </c>
      <c r="AE203" s="192">
        <v>0</v>
      </c>
      <c r="AF203" s="125">
        <f>ROUND(AE203*Valores!$C$2,2)</f>
        <v>0</v>
      </c>
      <c r="AG203" s="125">
        <f>IF($F$4="NO",IF(Valores!$D$64*'Escala Docente'!B203&gt;Valores!$F$64,Valores!$F$64,Valores!$D$64*'Escala Docente'!B203),IF(Valores!$D$64*'Escala Docente'!B203&gt;Valores!$F$64,Valores!$F$64,Valores!$D$64*'Escala Docente'!B203)/2)+0.03</f>
        <v>16074.400000000001</v>
      </c>
      <c r="AH203" s="125">
        <f>SUM(F203,H203,J203,L203,M203,N203,O203,P203,Q203,R203,T203,U203,V203,X203,Y203,Z203,AA203,AC203,AD203,AF203,AG203)*Valores!$C$104</f>
        <v>27985.995000000003</v>
      </c>
      <c r="AI203" s="125">
        <f t="shared" si="37"/>
        <v>307845.94500000001</v>
      </c>
      <c r="AJ203" s="125">
        <f>IF(Valores!$C$33*B203&gt;Valores!$F$33,Valores!$F$33,Valores!$C$33*B203)</f>
        <v>30333.333333333288</v>
      </c>
      <c r="AK203" s="125">
        <v>0</v>
      </c>
      <c r="AL203" s="125">
        <f>IF(Valores!$C$92*B203&gt;Valores!$C$91,Valores!$C$91,Valores!$C$92*B203)</f>
        <v>0</v>
      </c>
      <c r="AM203" s="125">
        <f>IF(Valores!C$40*B203&gt;Valores!F$39,Valores!F$39,Valores!C$40*B203)</f>
        <v>0</v>
      </c>
      <c r="AN203" s="125">
        <f>IF($F$3="NO",0,IF(Valores!$C$62*B203&gt;Valores!$F$62,Valores!$F$62,Valores!$C$62*B203))</f>
        <v>0</v>
      </c>
      <c r="AO203" s="125">
        <f t="shared" si="35"/>
        <v>30333.333333333288</v>
      </c>
      <c r="AP203" s="125">
        <f>AI203*Valores!$C$72</f>
        <v>-33863.053950000001</v>
      </c>
      <c r="AQ203" s="125">
        <f>IF(AI203&lt;Valores!$E$73,-0.02,IF(AI203&lt;Valores!$F$73,-0.03,-0.04))*AI203</f>
        <v>-6156.9189000000006</v>
      </c>
      <c r="AR203" s="125">
        <f>AI203*Valores!$C$75</f>
        <v>-16931.526975000001</v>
      </c>
      <c r="AS203" s="125">
        <f>Valores!$C$102</f>
        <v>-1270.1600000000001</v>
      </c>
      <c r="AT203" s="125">
        <f>IF($F$5=0,Valores!$C$103,(Valores!$C$103+$F$5*(Valores!$C$103)))</f>
        <v>-3700</v>
      </c>
      <c r="AU203" s="125">
        <f t="shared" si="38"/>
        <v>276257.61850833328</v>
      </c>
      <c r="AV203" s="125">
        <f t="shared" si="32"/>
        <v>-33863.053950000001</v>
      </c>
      <c r="AW203" s="125">
        <f t="shared" si="39"/>
        <v>-6156.9189000000006</v>
      </c>
      <c r="AX203" s="125">
        <f>AI203*Valores!$C$76</f>
        <v>-8311.8405149999999</v>
      </c>
      <c r="AY203" s="125">
        <f>AI203*Valores!$C$77</f>
        <v>-923.53783500000009</v>
      </c>
      <c r="AZ203" s="125">
        <f t="shared" si="36"/>
        <v>288923.92713333329</v>
      </c>
      <c r="BA203" s="125">
        <f>AI203*Valores!$C$79</f>
        <v>49255.351200000005</v>
      </c>
      <c r="BB203" s="125">
        <f>AI203*Valores!$C$80</f>
        <v>21549.216150000004</v>
      </c>
      <c r="BC203" s="125">
        <f>AI203*Valores!$C$81</f>
        <v>3078.4594500000003</v>
      </c>
      <c r="BD203" s="125">
        <f>AI203*Valores!$C$83</f>
        <v>10774.608075000002</v>
      </c>
      <c r="BE203" s="125">
        <f>AI203*Valores!$C$85</f>
        <v>16623.68103</v>
      </c>
      <c r="BF203" s="125">
        <f>AI203*Valores!$C$84</f>
        <v>1847.0756700000002</v>
      </c>
      <c r="BG203" s="126"/>
      <c r="BH203" s="126">
        <f t="shared" si="31"/>
        <v>13</v>
      </c>
      <c r="BI203" s="123" t="s">
        <v>4</v>
      </c>
    </row>
    <row r="204" spans="1:61" s="110" customFormat="1" ht="11.25" customHeight="1" x14ac:dyDescent="0.15">
      <c r="A204" s="123" t="s">
        <v>465</v>
      </c>
      <c r="B204" s="123">
        <v>14</v>
      </c>
      <c r="C204" s="126">
        <v>197</v>
      </c>
      <c r="D204" s="124" t="str">
        <f t="shared" si="29"/>
        <v>Hora Cátedra Enseñanza Superior 14 hs</v>
      </c>
      <c r="E204" s="192">
        <f t="shared" si="30"/>
        <v>1386</v>
      </c>
      <c r="F204" s="125">
        <f>ROUND(E204*Valores!$C$2,2)</f>
        <v>107549.03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34635.07</v>
      </c>
      <c r="N204" s="125">
        <f t="shared" si="33"/>
        <v>0</v>
      </c>
      <c r="O204" s="125">
        <f>Valores!$C$7*B204</f>
        <v>36839.18</v>
      </c>
      <c r="P204" s="125">
        <f>ROUND(IF(B204&lt;15,(Valores!$E$5*B204),Valores!$D$5),2)</f>
        <v>37023</v>
      </c>
      <c r="Q204" s="125">
        <v>0</v>
      </c>
      <c r="R204" s="125">
        <f>IF($F$4="NO",IF(Valores!$C$50*B204&gt;Valores!$F$47,Valores!$F$47,Valores!$C$50*B204),IF(Valores!$C$50*B204&gt;Valores!$F$47,Valores!$F$47,Valores!$C$50*B204)/2)</f>
        <v>19404.84</v>
      </c>
      <c r="S204" s="125">
        <f>Valores!$C$18*B204</f>
        <v>11586.4</v>
      </c>
      <c r="T204" s="125">
        <f t="shared" si="40"/>
        <v>11586.4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IF(Valores!$C$99*B204&gt;Valores!$C$98,Valores!$C$98,Valores!$C$99*B204)</f>
        <v>35371</v>
      </c>
      <c r="AA204" s="125">
        <f>IF((Valores!$C$28)*B204&gt;Valores!$F$28,Valores!$F$28,(Valores!$C$28)*B204)</f>
        <v>910.28</v>
      </c>
      <c r="AB204" s="214">
        <v>0</v>
      </c>
      <c r="AC204" s="125">
        <f t="shared" si="34"/>
        <v>0</v>
      </c>
      <c r="AD204" s="125">
        <f>IF(Valores!$C$29*B204&gt;Valores!$F$29,Valores!$F$29,Valores!$C$29*B204)</f>
        <v>757.96</v>
      </c>
      <c r="AE204" s="192">
        <v>0</v>
      </c>
      <c r="AF204" s="125">
        <f>ROUND(AE204*Valores!$C$2,2)</f>
        <v>0</v>
      </c>
      <c r="AG204" s="125">
        <f>IF($F$4="NO",IF(Valores!$D$64*'Escala Docente'!B204&gt;Valores!$F$64,Valores!$F$64,Valores!$D$64*'Escala Docente'!B204),IF(Valores!$D$64*'Escala Docente'!B204&gt;Valores!$F$64,Valores!$F$64,Valores!$D$64*'Escala Docente'!B204)/2)+0.03</f>
        <v>17310.89</v>
      </c>
      <c r="AH204" s="125">
        <f>SUM(F204,H204,J204,L204,M204,N204,O204,P204,Q204,R204,T204,U204,V204,X204,Y204,Z204,AA204,AC204,AD204,AF204,AG204)*Valores!$C$104</f>
        <v>30138.76500000001</v>
      </c>
      <c r="AI204" s="125">
        <f t="shared" si="37"/>
        <v>331526.4150000001</v>
      </c>
      <c r="AJ204" s="125">
        <f>IF(Valores!$C$33*B204&gt;Valores!$F$33,Valores!$F$33,Valores!$C$33*B204)</f>
        <v>32666.666666666617</v>
      </c>
      <c r="AK204" s="125">
        <v>0</v>
      </c>
      <c r="AL204" s="125">
        <f>IF(Valores!$C$92*B204&gt;Valores!$C$91,Valores!$C$91,Valores!$C$92*B204)</f>
        <v>0</v>
      </c>
      <c r="AM204" s="125">
        <f>IF(Valores!C$40*B204&gt;Valores!F$39,Valores!F$39,Valores!C$40*B204)</f>
        <v>0</v>
      </c>
      <c r="AN204" s="125">
        <f>IF($F$3="NO",0,IF(Valores!$C$62*B204&gt;Valores!$F$62,Valores!$F$62,Valores!$C$62*B204))</f>
        <v>0</v>
      </c>
      <c r="AO204" s="125">
        <f t="shared" si="35"/>
        <v>32666.666666666617</v>
      </c>
      <c r="AP204" s="125">
        <f>AI204*Valores!$C$72</f>
        <v>-36467.905650000008</v>
      </c>
      <c r="AQ204" s="125">
        <f>IF(AI204&lt;Valores!$E$73,-0.02,IF(AI204&lt;Valores!$F$73,-0.03,-0.04))*AI204</f>
        <v>-6630.5283000000018</v>
      </c>
      <c r="AR204" s="125">
        <f>AI204*Valores!$C$75</f>
        <v>-18233.952825000004</v>
      </c>
      <c r="AS204" s="125">
        <f>Valores!$C$102</f>
        <v>-1270.1600000000001</v>
      </c>
      <c r="AT204" s="125">
        <f>IF($F$5=0,Valores!$C$103,(Valores!$C$103+$F$5*(Valores!$C$103)))</f>
        <v>-3700</v>
      </c>
      <c r="AU204" s="125">
        <f t="shared" si="38"/>
        <v>297890.53489166673</v>
      </c>
      <c r="AV204" s="125">
        <f t="shared" si="32"/>
        <v>-36467.905650000008</v>
      </c>
      <c r="AW204" s="125">
        <f t="shared" si="39"/>
        <v>-6630.5283000000018</v>
      </c>
      <c r="AX204" s="125">
        <f>AI204*Valores!$C$76</f>
        <v>-8951.2132050000018</v>
      </c>
      <c r="AY204" s="125">
        <f>AI204*Valores!$C$77</f>
        <v>-994.57924500000036</v>
      </c>
      <c r="AZ204" s="125">
        <f t="shared" si="36"/>
        <v>311148.85526666674</v>
      </c>
      <c r="BA204" s="125">
        <f>AI204*Valores!$C$79</f>
        <v>53044.226400000014</v>
      </c>
      <c r="BB204" s="125">
        <f>AI204*Valores!$C$80</f>
        <v>23206.849050000008</v>
      </c>
      <c r="BC204" s="125">
        <f>AI204*Valores!$C$81</f>
        <v>3315.2641500000009</v>
      </c>
      <c r="BD204" s="125">
        <f>AI204*Valores!$C$83</f>
        <v>11603.424525000004</v>
      </c>
      <c r="BE204" s="125">
        <f>AI204*Valores!$C$85</f>
        <v>17902.426410000004</v>
      </c>
      <c r="BF204" s="125">
        <f>AI204*Valores!$C$84</f>
        <v>1989.1584900000007</v>
      </c>
      <c r="BG204" s="126"/>
      <c r="BH204" s="126">
        <f t="shared" si="31"/>
        <v>14</v>
      </c>
      <c r="BI204" s="123" t="s">
        <v>4</v>
      </c>
    </row>
    <row r="205" spans="1:61" s="110" customFormat="1" ht="11.25" customHeight="1" x14ac:dyDescent="0.15">
      <c r="A205" s="123" t="s">
        <v>465</v>
      </c>
      <c r="B205" s="123">
        <v>15</v>
      </c>
      <c r="C205" s="126">
        <v>198</v>
      </c>
      <c r="D205" s="124" t="str">
        <f t="shared" si="29"/>
        <v>Hora Cátedra Enseñanza Superior 15 hs</v>
      </c>
      <c r="E205" s="192">
        <f t="shared" si="30"/>
        <v>1485</v>
      </c>
      <c r="F205" s="125">
        <f>ROUND(E205*Valores!$C$2,2)</f>
        <v>115231.1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37109</v>
      </c>
      <c r="N205" s="125">
        <f t="shared" si="33"/>
        <v>0</v>
      </c>
      <c r="O205" s="125">
        <f>Valores!$C$7*B205</f>
        <v>39470.549999999996</v>
      </c>
      <c r="P205" s="125">
        <f>ROUND(IF(B205&lt;15,(Valores!$E$5*B205),Valores!$D$5),2)</f>
        <v>39667.43</v>
      </c>
      <c r="Q205" s="125">
        <v>0</v>
      </c>
      <c r="R205" s="125">
        <f>IF($F$4="NO",IF(Valores!$C$50*B205&gt;Valores!$F$47,Valores!$F$47,Valores!$C$50*B205),IF(Valores!$C$50*B205&gt;Valores!$F$47,Valores!$F$47,Valores!$C$50*B205)/2)</f>
        <v>20790.899999999998</v>
      </c>
      <c r="S205" s="125">
        <f>Valores!$C$18*B205</f>
        <v>12414</v>
      </c>
      <c r="T205" s="125">
        <f t="shared" si="40"/>
        <v>12414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IF(Valores!$C$99*B205&gt;Valores!$C$98,Valores!$C$98,Valores!$C$99*B205)</f>
        <v>37897.5</v>
      </c>
      <c r="AA205" s="125">
        <f>IF((Valores!$C$28)*B205&gt;Valores!$F$28,Valores!$F$28,(Valores!$C$28)*B205)</f>
        <v>975.3</v>
      </c>
      <c r="AB205" s="214">
        <v>0</v>
      </c>
      <c r="AC205" s="125">
        <f t="shared" si="34"/>
        <v>0</v>
      </c>
      <c r="AD205" s="125">
        <f>IF(Valores!$C$29*B205&gt;Valores!$F$29,Valores!$F$29,Valores!$C$29*B205)</f>
        <v>812.1</v>
      </c>
      <c r="AE205" s="192">
        <v>0</v>
      </c>
      <c r="AF205" s="125">
        <f>ROUND(AE205*Valores!$C$2,2)</f>
        <v>0</v>
      </c>
      <c r="AG205" s="125">
        <f>IF($F$4="NO",IF(Valores!$D$64*'Escala Docente'!B205&gt;Valores!$F$64,Valores!$F$64,Valores!$D$64*'Escala Docente'!B205),IF(Valores!$D$64*'Escala Docente'!B205&gt;Valores!$F$64,Valores!$F$64,Valores!$D$64*'Escala Docente'!B205)/2)+0.03</f>
        <v>18547.379999999997</v>
      </c>
      <c r="AH205" s="125">
        <f>SUM(F205,H205,J205,L205,M205,N205,O205,P205,Q205,R205,T205,U205,V205,X205,Y205,Z205,AA205,AC205,AD205,AF205,AG205)*Valores!$C$104</f>
        <v>32291.525999999998</v>
      </c>
      <c r="AI205" s="125">
        <f t="shared" si="37"/>
        <v>355206.78599999996</v>
      </c>
      <c r="AJ205" s="125">
        <f>IF(Valores!$C$33*B205&gt;Valores!$F$33,Valores!$F$33,Valores!$C$33*B205)</f>
        <v>34999.999999999949</v>
      </c>
      <c r="AK205" s="125">
        <v>0</v>
      </c>
      <c r="AL205" s="125">
        <f>IF(Valores!$C$92*B205&gt;Valores!$C$91,Valores!$C$91,Valores!$C$92*B205)</f>
        <v>0</v>
      </c>
      <c r="AM205" s="125">
        <f>IF(Valores!C$40*B205&gt;Valores!F$39,Valores!F$39,Valores!C$40*B205)</f>
        <v>0</v>
      </c>
      <c r="AN205" s="125">
        <f>IF($F$3="NO",0,IF(Valores!$C$62*B205&gt;Valores!$F$62,Valores!$F$62,Valores!$C$62*B205))</f>
        <v>0</v>
      </c>
      <c r="AO205" s="125">
        <f t="shared" si="35"/>
        <v>34999.999999999949</v>
      </c>
      <c r="AP205" s="125">
        <f>AI205*Valores!$C$72</f>
        <v>-39072.746459999995</v>
      </c>
      <c r="AQ205" s="125">
        <f>IF(AI205&lt;Valores!$E$73,-0.02,IF(AI205&lt;Valores!$F$73,-0.03,-0.04))*AI205</f>
        <v>-7104.1357199999993</v>
      </c>
      <c r="AR205" s="125">
        <f>AI205*Valores!$C$75</f>
        <v>-19536.373229999997</v>
      </c>
      <c r="AS205" s="125">
        <f>Valores!$C$102</f>
        <v>-1270.1600000000001</v>
      </c>
      <c r="AT205" s="125">
        <f>IF($F$5=0,Valores!$C$103,(Valores!$C$103+$F$5*(Valores!$C$103)))</f>
        <v>-3700</v>
      </c>
      <c r="AU205" s="125">
        <f t="shared" si="38"/>
        <v>319523.37058999995</v>
      </c>
      <c r="AV205" s="125">
        <f t="shared" si="32"/>
        <v>-39072.746459999995</v>
      </c>
      <c r="AW205" s="125">
        <f t="shared" si="39"/>
        <v>-7104.1357199999993</v>
      </c>
      <c r="AX205" s="125">
        <f>AI205*Valores!$C$76</f>
        <v>-9590.5832219999993</v>
      </c>
      <c r="AY205" s="125">
        <f>AI205*Valores!$C$77</f>
        <v>-1065.6203579999999</v>
      </c>
      <c r="AZ205" s="125">
        <f t="shared" si="36"/>
        <v>333373.70023999992</v>
      </c>
      <c r="BA205" s="125">
        <f>AI205*Valores!$C$79</f>
        <v>56833.085759999994</v>
      </c>
      <c r="BB205" s="125">
        <f>AI205*Valores!$C$80</f>
        <v>24864.475019999998</v>
      </c>
      <c r="BC205" s="125">
        <f>AI205*Valores!$C$81</f>
        <v>3552.0678599999997</v>
      </c>
      <c r="BD205" s="125">
        <f>AI205*Valores!$C$83</f>
        <v>12432.237509999999</v>
      </c>
      <c r="BE205" s="125">
        <f>AI205*Valores!$C$85</f>
        <v>19181.166443999999</v>
      </c>
      <c r="BF205" s="125">
        <f>AI205*Valores!$C$84</f>
        <v>2131.2407159999998</v>
      </c>
      <c r="BG205" s="126"/>
      <c r="BH205" s="126">
        <f t="shared" si="31"/>
        <v>15</v>
      </c>
      <c r="BI205" s="123" t="s">
        <v>4</v>
      </c>
    </row>
    <row r="206" spans="1:61" s="110" customFormat="1" ht="11.25" customHeight="1" x14ac:dyDescent="0.15">
      <c r="A206" s="123" t="s">
        <v>465</v>
      </c>
      <c r="B206" s="123">
        <v>16</v>
      </c>
      <c r="C206" s="126">
        <v>199</v>
      </c>
      <c r="D206" s="124" t="str">
        <f t="shared" si="29"/>
        <v>Hora Cátedra Enseñanza Superior 16 hs</v>
      </c>
      <c r="E206" s="192">
        <f t="shared" si="30"/>
        <v>1584</v>
      </c>
      <c r="F206" s="125">
        <f>ROUND(E206*Valores!$C$2,2)</f>
        <v>122913.17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39582.93</v>
      </c>
      <c r="N206" s="125">
        <f t="shared" si="33"/>
        <v>0</v>
      </c>
      <c r="O206" s="125">
        <f>Valores!$C$7*B206</f>
        <v>42101.919999999998</v>
      </c>
      <c r="P206" s="125">
        <f>ROUND(IF(B206&lt;15,(Valores!$E$5*B206),Valores!$D$5),2)</f>
        <v>39667.43</v>
      </c>
      <c r="Q206" s="125">
        <v>0</v>
      </c>
      <c r="R206" s="125">
        <f>IF($F$4="NO",IF(Valores!$C$50*B206&gt;Valores!$F$47,Valores!$F$47,Valores!$C$50*B206),IF(Valores!$C$50*B206&gt;Valores!$F$47,Valores!$F$47,Valores!$C$50*B206)/2)</f>
        <v>22176.959999999999</v>
      </c>
      <c r="S206" s="125">
        <f>Valores!$C$18*B206</f>
        <v>13241.6</v>
      </c>
      <c r="T206" s="125">
        <f t="shared" si="40"/>
        <v>13241.6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IF(Valores!$C$99*B206&gt;Valores!$C$98,Valores!$C$98,Valores!$C$99*B206)</f>
        <v>40424</v>
      </c>
      <c r="AA206" s="125">
        <f>IF((Valores!$C$28)*B206&gt;Valores!$F$28,Valores!$F$28,(Valores!$C$28)*B206)</f>
        <v>1040.32</v>
      </c>
      <c r="AB206" s="214">
        <v>0</v>
      </c>
      <c r="AC206" s="125">
        <f t="shared" si="34"/>
        <v>0</v>
      </c>
      <c r="AD206" s="125">
        <f>IF(Valores!$C$29*B206&gt;Valores!$F$29,Valores!$F$29,Valores!$C$29*B206)</f>
        <v>866.24</v>
      </c>
      <c r="AE206" s="192">
        <v>0</v>
      </c>
      <c r="AF206" s="125">
        <f>ROUND(AE206*Valores!$C$2,2)</f>
        <v>0</v>
      </c>
      <c r="AG206" s="125">
        <f>IF($F$4="NO",IF(Valores!$D$64*'Escala Docente'!B206&gt;Valores!$F$64,Valores!$F$64,Valores!$D$64*'Escala Docente'!B206),IF(Valores!$D$64*'Escala Docente'!B206&gt;Valores!$F$64,Valores!$F$64,Valores!$D$64*'Escala Docente'!B206)/2)+0.03</f>
        <v>19783.87</v>
      </c>
      <c r="AH206" s="125">
        <f>SUM(F206,H206,J206,L206,M206,N206,O206,P206,Q206,R206,T206,U206,V206,X206,Y206,Z206,AA206,AC206,AD206,AF206,AG206)*Valores!$C$104</f>
        <v>34179.844000000005</v>
      </c>
      <c r="AI206" s="125">
        <f t="shared" si="37"/>
        <v>375978.28399999999</v>
      </c>
      <c r="AJ206" s="125">
        <f>IF(Valores!$C$33*B206&gt;Valores!$F$33,Valores!$F$33,Valores!$C$33*B206)</f>
        <v>37333.333333333278</v>
      </c>
      <c r="AK206" s="125">
        <v>0</v>
      </c>
      <c r="AL206" s="125">
        <f>IF(Valores!$C$92*B206&gt;Valores!$C$91,Valores!$C$91,Valores!$C$92*B206)</f>
        <v>0</v>
      </c>
      <c r="AM206" s="125">
        <f>IF(Valores!C$40*B206&gt;Valores!F$39,Valores!F$39,Valores!C$40*B206)</f>
        <v>0</v>
      </c>
      <c r="AN206" s="125">
        <f>IF($F$3="NO",0,IF(Valores!$C$62*B206&gt;Valores!$F$62,Valores!$F$62,Valores!$C$62*B206))</f>
        <v>0</v>
      </c>
      <c r="AO206" s="125">
        <f t="shared" si="35"/>
        <v>37333.333333333278</v>
      </c>
      <c r="AP206" s="125">
        <f>AI206*Valores!$C$72</f>
        <v>-41357.611239999998</v>
      </c>
      <c r="AQ206" s="125">
        <f>IF(AI206&lt;Valores!$E$73,-0.02,IF(AI206&lt;Valores!$F$73,-0.03,-0.04))*AI206</f>
        <v>-7519.5656799999997</v>
      </c>
      <c r="AR206" s="125">
        <f>AI206*Valores!$C$75</f>
        <v>-20678.805619999999</v>
      </c>
      <c r="AS206" s="125">
        <f>Valores!$C$102</f>
        <v>-1270.1600000000001</v>
      </c>
      <c r="AT206" s="125">
        <f>IF($F$5=0,Valores!$C$103,(Valores!$C$103+$F$5*(Valores!$C$103)))</f>
        <v>-3700</v>
      </c>
      <c r="AU206" s="125">
        <f t="shared" si="38"/>
        <v>338785.47479333327</v>
      </c>
      <c r="AV206" s="125">
        <f t="shared" si="32"/>
        <v>-41357.611239999998</v>
      </c>
      <c r="AW206" s="125">
        <f t="shared" si="39"/>
        <v>-7519.5656799999997</v>
      </c>
      <c r="AX206" s="125">
        <f>AI206*Valores!$C$76</f>
        <v>-10151.413667999999</v>
      </c>
      <c r="AY206" s="125">
        <f>AI206*Valores!$C$77</f>
        <v>-1127.9348520000001</v>
      </c>
      <c r="AZ206" s="125">
        <f t="shared" si="36"/>
        <v>353155.09189333324</v>
      </c>
      <c r="BA206" s="125">
        <f>AI206*Valores!$C$79</f>
        <v>60156.525439999998</v>
      </c>
      <c r="BB206" s="125">
        <f>AI206*Valores!$C$80</f>
        <v>26318.479880000003</v>
      </c>
      <c r="BC206" s="125">
        <f>AI206*Valores!$C$81</f>
        <v>3759.7828399999999</v>
      </c>
      <c r="BD206" s="125">
        <f>AI206*Valores!$C$83</f>
        <v>13159.239940000001</v>
      </c>
      <c r="BE206" s="125">
        <f>AI206*Valores!$C$85</f>
        <v>20302.827335999998</v>
      </c>
      <c r="BF206" s="125">
        <f>AI206*Valores!$C$84</f>
        <v>2255.8697040000002</v>
      </c>
      <c r="BG206" s="126"/>
      <c r="BH206" s="126">
        <f t="shared" si="31"/>
        <v>16</v>
      </c>
      <c r="BI206" s="123" t="s">
        <v>4</v>
      </c>
    </row>
    <row r="207" spans="1:61" s="110" customFormat="1" ht="11.25" customHeight="1" x14ac:dyDescent="0.15">
      <c r="A207" s="123" t="s">
        <v>465</v>
      </c>
      <c r="B207" s="123">
        <v>17</v>
      </c>
      <c r="C207" s="126">
        <v>200</v>
      </c>
      <c r="D207" s="124" t="str">
        <f t="shared" si="29"/>
        <v>Hora Cátedra Enseñanza Superior 17 hs</v>
      </c>
      <c r="E207" s="192">
        <f t="shared" si="30"/>
        <v>1683</v>
      </c>
      <c r="F207" s="125">
        <f>ROUND(E207*Valores!$C$2,2)</f>
        <v>130595.25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42056.87</v>
      </c>
      <c r="N207" s="125">
        <f t="shared" si="33"/>
        <v>0</v>
      </c>
      <c r="O207" s="125">
        <f>Valores!$C$7*B207</f>
        <v>44733.29</v>
      </c>
      <c r="P207" s="125">
        <f>ROUND(IF(B207&lt;15,(Valores!$E$5*B207),Valores!$D$5),2)</f>
        <v>39667.43</v>
      </c>
      <c r="Q207" s="125">
        <v>0</v>
      </c>
      <c r="R207" s="125">
        <f>IF($F$4="NO",IF(Valores!$C$50*B207&gt;Valores!$F$47,Valores!$F$47,Valores!$C$50*B207),IF(Valores!$C$50*B207&gt;Valores!$F$47,Valores!$F$47,Valores!$C$50*B207)/2)</f>
        <v>23563.02</v>
      </c>
      <c r="S207" s="125">
        <f>Valores!$C$18*B207</f>
        <v>14069.2</v>
      </c>
      <c r="T207" s="125">
        <f t="shared" si="40"/>
        <v>14069.2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IF(Valores!$C$99*B207&gt;Valores!$C$98,Valores!$C$98,Valores!$C$99*B207)</f>
        <v>42950.5</v>
      </c>
      <c r="AA207" s="125">
        <f>IF((Valores!$C$28)*B207&gt;Valores!$F$28,Valores!$F$28,(Valores!$C$28)*B207)</f>
        <v>1105.3399999999999</v>
      </c>
      <c r="AB207" s="214">
        <v>0</v>
      </c>
      <c r="AC207" s="125">
        <f t="shared" si="34"/>
        <v>0</v>
      </c>
      <c r="AD207" s="125">
        <f>IF(Valores!$C$29*B207&gt;Valores!$F$29,Valores!$F$29,Valores!$C$29*B207)</f>
        <v>920.38</v>
      </c>
      <c r="AE207" s="192">
        <v>0</v>
      </c>
      <c r="AF207" s="125">
        <f>ROUND(AE207*Valores!$C$2,2)</f>
        <v>0</v>
      </c>
      <c r="AG207" s="125">
        <f>IF($F$4="NO",IF(Valores!$D$64*'Escala Docente'!B207&gt;Valores!$F$64,Valores!$F$64,Valores!$D$64*'Escala Docente'!B207),IF(Valores!$D$64*'Escala Docente'!B207&gt;Valores!$F$64,Valores!$F$64,Valores!$D$64*'Escala Docente'!B207)/2)+0.03</f>
        <v>21020.36</v>
      </c>
      <c r="AH207" s="125">
        <f>SUM(F207,H207,J207,L207,M207,N207,O207,P207,Q207,R207,T207,U207,V207,X207,Y207,Z207,AA207,AC207,AD207,AF207,AG207)*Valores!$C$104</f>
        <v>36068.164000000004</v>
      </c>
      <c r="AI207" s="125">
        <f t="shared" si="37"/>
        <v>396749.804</v>
      </c>
      <c r="AJ207" s="125">
        <f>IF(Valores!$C$33*B207&gt;Valores!$F$33,Valores!$F$33,Valores!$C$33*B207)</f>
        <v>39666.666666666606</v>
      </c>
      <c r="AK207" s="125">
        <v>0</v>
      </c>
      <c r="AL207" s="125">
        <f>IF(Valores!$C$92*B207&gt;Valores!$C$91,Valores!$C$91,Valores!$C$92*B207)</f>
        <v>0</v>
      </c>
      <c r="AM207" s="125">
        <f>IF(Valores!C$40*B207&gt;Valores!F$39,Valores!F$39,Valores!C$40*B207)</f>
        <v>0</v>
      </c>
      <c r="AN207" s="125">
        <f>IF($F$3="NO",0,IF(Valores!$C$62*B207&gt;Valores!$F$62,Valores!$F$62,Valores!$C$62*B207))</f>
        <v>0</v>
      </c>
      <c r="AO207" s="125">
        <f t="shared" si="35"/>
        <v>39666.666666666606</v>
      </c>
      <c r="AP207" s="125">
        <f>AI207*Valores!$C$72</f>
        <v>-43642.478439999999</v>
      </c>
      <c r="AQ207" s="125">
        <f>IF(AI207&lt;Valores!$E$73,-0.02,IF(AI207&lt;Valores!$F$73,-0.03,-0.04))*AI207</f>
        <v>-7934.9960799999999</v>
      </c>
      <c r="AR207" s="125">
        <f>AI207*Valores!$C$75</f>
        <v>-21821.239219999999</v>
      </c>
      <c r="AS207" s="125">
        <f>Valores!$C$102</f>
        <v>-1270.1600000000001</v>
      </c>
      <c r="AT207" s="125">
        <f>IF($F$5=0,Valores!$C$103,(Valores!$C$103+$F$5*(Valores!$C$103)))</f>
        <v>-3700</v>
      </c>
      <c r="AU207" s="125">
        <f t="shared" si="38"/>
        <v>358047.59692666662</v>
      </c>
      <c r="AV207" s="125">
        <f t="shared" si="32"/>
        <v>-43642.478439999999</v>
      </c>
      <c r="AW207" s="125">
        <f t="shared" si="39"/>
        <v>-7934.9960799999999</v>
      </c>
      <c r="AX207" s="125">
        <f>AI207*Valores!$C$76</f>
        <v>-10712.244708</v>
      </c>
      <c r="AY207" s="125">
        <f>AI207*Valores!$C$77</f>
        <v>-1190.2494120000001</v>
      </c>
      <c r="AZ207" s="125">
        <f t="shared" si="36"/>
        <v>372936.50202666665</v>
      </c>
      <c r="BA207" s="125">
        <f>AI207*Valores!$C$79</f>
        <v>63479.968639999999</v>
      </c>
      <c r="BB207" s="125">
        <f>AI207*Valores!$C$80</f>
        <v>27772.486280000005</v>
      </c>
      <c r="BC207" s="125">
        <f>AI207*Valores!$C$81</f>
        <v>3967.4980399999999</v>
      </c>
      <c r="BD207" s="125">
        <f>AI207*Valores!$C$83</f>
        <v>13886.243140000002</v>
      </c>
      <c r="BE207" s="125">
        <f>AI207*Valores!$C$85</f>
        <v>21424.489416</v>
      </c>
      <c r="BF207" s="125">
        <f>AI207*Valores!$C$84</f>
        <v>2380.4988240000002</v>
      </c>
      <c r="BG207" s="126"/>
      <c r="BH207" s="126">
        <f t="shared" si="31"/>
        <v>17</v>
      </c>
      <c r="BI207" s="123" t="s">
        <v>4</v>
      </c>
    </row>
    <row r="208" spans="1:61" s="110" customFormat="1" ht="11.25" customHeight="1" x14ac:dyDescent="0.15">
      <c r="A208" s="123" t="s">
        <v>465</v>
      </c>
      <c r="B208" s="123">
        <v>18</v>
      </c>
      <c r="C208" s="126">
        <v>201</v>
      </c>
      <c r="D208" s="124" t="str">
        <f t="shared" si="29"/>
        <v>Hora Cátedra Enseñanza Superior 18 hs</v>
      </c>
      <c r="E208" s="192">
        <f t="shared" si="30"/>
        <v>1782</v>
      </c>
      <c r="F208" s="125">
        <f>ROUND(E208*Valores!$C$2,2)</f>
        <v>138277.32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44530.8</v>
      </c>
      <c r="N208" s="125">
        <f t="shared" si="33"/>
        <v>0</v>
      </c>
      <c r="O208" s="125">
        <f>Valores!$C$7*B208</f>
        <v>47364.659999999996</v>
      </c>
      <c r="P208" s="125">
        <f>ROUND(IF(B208&lt;15,(Valores!$E$5*B208),Valores!$D$5),2)</f>
        <v>39667.43</v>
      </c>
      <c r="Q208" s="125">
        <v>0</v>
      </c>
      <c r="R208" s="125">
        <f>IF($F$4="NO",IF(Valores!$C$50*B208&gt;Valores!$F$47,Valores!$F$47,Valores!$C$50*B208),IF(Valores!$C$50*B208&gt;Valores!$F$47,Valores!$F$47,Valores!$C$50*B208)/2)</f>
        <v>24949.079999999998</v>
      </c>
      <c r="S208" s="125">
        <f>Valores!$C$18*B208</f>
        <v>14896.800000000001</v>
      </c>
      <c r="T208" s="125">
        <f t="shared" si="40"/>
        <v>14896.8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IF(Valores!$C$99*B208&gt;Valores!$C$98,Valores!$C$98,Valores!$C$99*B208)</f>
        <v>45477</v>
      </c>
      <c r="AA208" s="125">
        <f>IF((Valores!$C$28)*B208&gt;Valores!$F$28,Valores!$F$28,(Valores!$C$28)*B208)</f>
        <v>1170.3599999999999</v>
      </c>
      <c r="AB208" s="214">
        <v>0</v>
      </c>
      <c r="AC208" s="125">
        <f t="shared" si="34"/>
        <v>0</v>
      </c>
      <c r="AD208" s="125">
        <f>IF(Valores!$C$29*B208&gt;Valores!$F$29,Valores!$F$29,Valores!$C$29*B208)</f>
        <v>974.52</v>
      </c>
      <c r="AE208" s="192">
        <v>0</v>
      </c>
      <c r="AF208" s="125">
        <f>ROUND(AE208*Valores!$C$2,2)</f>
        <v>0</v>
      </c>
      <c r="AG208" s="125">
        <f>IF($F$4="NO",IF(Valores!$D$64*'Escala Docente'!B208&gt;Valores!$F$64,Valores!$F$64,Valores!$D$64*'Escala Docente'!B208),IF(Valores!$D$64*'Escala Docente'!B208&gt;Valores!$F$64,Valores!$F$64,Valores!$D$64*'Escala Docente'!B208)/2)+0.04</f>
        <v>22256.86</v>
      </c>
      <c r="AH208" s="125">
        <f>SUM(F208,H208,J208,L208,M208,N208,O208,P208,Q208,R208,T208,U208,V208,X208,Y208,Z208,AA208,AC208,AD208,AF208,AG208)*Valores!$C$104</f>
        <v>37956.483</v>
      </c>
      <c r="AI208" s="125">
        <f t="shared" si="37"/>
        <v>417521.31300000002</v>
      </c>
      <c r="AJ208" s="125">
        <f>IF(Valores!$C$33*B208&gt;Valores!$F$33,Valores!$F$33,Valores!$C$33*B208)</f>
        <v>41999.999999999935</v>
      </c>
      <c r="AK208" s="125">
        <v>0</v>
      </c>
      <c r="AL208" s="125">
        <f>IF(Valores!$C$92*B208&gt;Valores!$C$91,Valores!$C$91,Valores!$C$92*B208)</f>
        <v>0</v>
      </c>
      <c r="AM208" s="125">
        <f>IF(Valores!C$40*B208&gt;Valores!F$39,Valores!F$39,Valores!C$40*B208)</f>
        <v>0</v>
      </c>
      <c r="AN208" s="125">
        <f>IF($F$3="NO",0,IF(Valores!$C$62*B208&gt;Valores!$F$62,Valores!$F$62,Valores!$C$62*B208))</f>
        <v>0</v>
      </c>
      <c r="AO208" s="125">
        <f t="shared" si="35"/>
        <v>41999.999999999935</v>
      </c>
      <c r="AP208" s="125">
        <f>AI208*Valores!$C$72</f>
        <v>-45927.344430000005</v>
      </c>
      <c r="AQ208" s="125">
        <f>IF(AI208&lt;Valores!$E$73,-0.02,IF(AI208&lt;Valores!$F$73,-0.03,-0.04))*AI208</f>
        <v>-8350.4262600000002</v>
      </c>
      <c r="AR208" s="125">
        <f>AI208*Valores!$C$75</f>
        <v>-22963.672215000002</v>
      </c>
      <c r="AS208" s="125">
        <f>Valores!$C$102</f>
        <v>-1270.1600000000001</v>
      </c>
      <c r="AT208" s="125">
        <f>IF($F$5=0,Valores!$C$103,(Valores!$C$103+$F$5*(Valores!$C$103)))</f>
        <v>-3700</v>
      </c>
      <c r="AU208" s="125">
        <f t="shared" si="38"/>
        <v>377309.71009499993</v>
      </c>
      <c r="AV208" s="125">
        <f t="shared" si="32"/>
        <v>-45927.344430000005</v>
      </c>
      <c r="AW208" s="125">
        <f t="shared" si="39"/>
        <v>-8350.4262600000002</v>
      </c>
      <c r="AX208" s="125">
        <f>AI208*Valores!$C$76</f>
        <v>-11273.075451000001</v>
      </c>
      <c r="AY208" s="125">
        <f>AI208*Valores!$C$77</f>
        <v>-1252.5639390000001</v>
      </c>
      <c r="AZ208" s="125">
        <f t="shared" si="36"/>
        <v>392717.90291999996</v>
      </c>
      <c r="BA208" s="125">
        <f>AI208*Valores!$C$79</f>
        <v>66803.410080000001</v>
      </c>
      <c r="BB208" s="125">
        <f>AI208*Valores!$C$80</f>
        <v>29226.491910000004</v>
      </c>
      <c r="BC208" s="125">
        <f>AI208*Valores!$C$81</f>
        <v>4175.2131300000001</v>
      </c>
      <c r="BD208" s="125">
        <f>AI208*Valores!$C$83</f>
        <v>14613.245955000002</v>
      </c>
      <c r="BE208" s="125">
        <f>AI208*Valores!$C$85</f>
        <v>22546.150902000001</v>
      </c>
      <c r="BF208" s="125">
        <f>AI208*Valores!$C$84</f>
        <v>2505.1278780000002</v>
      </c>
      <c r="BG208" s="126"/>
      <c r="BH208" s="126">
        <f t="shared" si="31"/>
        <v>18</v>
      </c>
      <c r="BI208" s="123" t="s">
        <v>4</v>
      </c>
    </row>
    <row r="209" spans="1:61" s="110" customFormat="1" ht="11.25" customHeight="1" x14ac:dyDescent="0.15">
      <c r="A209" s="123" t="s">
        <v>465</v>
      </c>
      <c r="B209" s="123">
        <v>19</v>
      </c>
      <c r="C209" s="126">
        <v>202</v>
      </c>
      <c r="D209" s="124" t="str">
        <f t="shared" si="29"/>
        <v>Hora Cátedra Enseñanza Superior 19 hs</v>
      </c>
      <c r="E209" s="192">
        <f t="shared" si="30"/>
        <v>1881</v>
      </c>
      <c r="F209" s="125">
        <f>ROUND(E209*Valores!$C$2,2)</f>
        <v>145959.39000000001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47004.73</v>
      </c>
      <c r="N209" s="125">
        <f t="shared" si="33"/>
        <v>0</v>
      </c>
      <c r="O209" s="125">
        <f>Valores!$C$7*B209</f>
        <v>49996.03</v>
      </c>
      <c r="P209" s="125">
        <f>ROUND(IF(B209&lt;15,(Valores!$E$5*B209),Valores!$D$5),2)</f>
        <v>39667.43</v>
      </c>
      <c r="Q209" s="125">
        <v>0</v>
      </c>
      <c r="R209" s="125">
        <f>IF($F$4="NO",IF(Valores!$C$50*B209&gt;Valores!$F$47,Valores!$F$47,Valores!$C$50*B209),IF(Valores!$C$50*B209&gt;Valores!$F$47,Valores!$F$47,Valores!$C$50*B209)/2)</f>
        <v>26335.14</v>
      </c>
      <c r="S209" s="125">
        <f>Valores!$C$18*B209</f>
        <v>15724.4</v>
      </c>
      <c r="T209" s="125">
        <f t="shared" si="40"/>
        <v>15724.4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IF(Valores!$C$99*B209&gt;Valores!$C$98,Valores!$C$98,Valores!$C$99*B209)</f>
        <v>48003.5</v>
      </c>
      <c r="AA209" s="125">
        <f>IF((Valores!$C$28)*B209&gt;Valores!$F$28,Valores!$F$28,(Valores!$C$28)*B209)</f>
        <v>1235.3799999999999</v>
      </c>
      <c r="AB209" s="214">
        <v>0</v>
      </c>
      <c r="AC209" s="125">
        <f t="shared" si="34"/>
        <v>0</v>
      </c>
      <c r="AD209" s="125">
        <f>IF(Valores!$C$29*B209&gt;Valores!$F$29,Valores!$F$29,Valores!$C$29*B209)</f>
        <v>1028.6600000000001</v>
      </c>
      <c r="AE209" s="192">
        <v>0</v>
      </c>
      <c r="AF209" s="125">
        <f>ROUND(AE209*Valores!$C$2,2)</f>
        <v>0</v>
      </c>
      <c r="AG209" s="125">
        <f>IF($F$4="NO",IF(Valores!$D$64*'Escala Docente'!B209&gt;Valores!$F$64,Valores!$F$64,Valores!$D$64*'Escala Docente'!B209),IF(Valores!$D$64*'Escala Docente'!B209&gt;Valores!$F$64,Valores!$F$64,Valores!$D$64*'Escala Docente'!B209)/2)+0.04</f>
        <v>23493.350000000002</v>
      </c>
      <c r="AH209" s="125">
        <f>SUM(F209,H209,J209,L209,M209,N209,O209,P209,Q209,R209,T209,U209,V209,X209,Y209,Z209,AA209,AC209,AD209,AF209,AG209)*Valores!$C$104</f>
        <v>39844.801000000007</v>
      </c>
      <c r="AI209" s="125">
        <f t="shared" si="37"/>
        <v>438292.81099999999</v>
      </c>
      <c r="AJ209" s="125">
        <f>IF(Valores!$C$33*B209&gt;Valores!$F$33,Valores!$F$33,Valores!$C$33*B209)</f>
        <v>44333.33333333327</v>
      </c>
      <c r="AK209" s="125">
        <v>0</v>
      </c>
      <c r="AL209" s="125">
        <f>IF(Valores!$C$92*B209&gt;Valores!$C$91,Valores!$C$91,Valores!$C$92*B209)</f>
        <v>0</v>
      </c>
      <c r="AM209" s="125">
        <f>IF(Valores!C$40*B209&gt;Valores!F$39,Valores!F$39,Valores!C$40*B209)</f>
        <v>0</v>
      </c>
      <c r="AN209" s="125">
        <f>IF($F$3="NO",0,IF(Valores!$C$62*B209&gt;Valores!$F$62,Valores!$F$62,Valores!$C$62*B209))</f>
        <v>0</v>
      </c>
      <c r="AO209" s="125">
        <f t="shared" si="35"/>
        <v>44333.33333333327</v>
      </c>
      <c r="AP209" s="125">
        <f>AI209*Valores!$C$72</f>
        <v>-48212.209210000001</v>
      </c>
      <c r="AQ209" s="125">
        <f>IF(AI209&lt;Valores!$E$73,-0.02,IF(AI209&lt;Valores!$F$73,-0.03,-0.04))*AI209</f>
        <v>-8765.8562199999997</v>
      </c>
      <c r="AR209" s="125">
        <f>AI209*Valores!$C$75</f>
        <v>-24106.104605</v>
      </c>
      <c r="AS209" s="125">
        <f>Valores!$C$102</f>
        <v>-1270.1600000000001</v>
      </c>
      <c r="AT209" s="125">
        <f>IF($F$5=0,Valores!$C$103,(Valores!$C$103+$F$5*(Valores!$C$103)))</f>
        <v>-3700</v>
      </c>
      <c r="AU209" s="125">
        <f t="shared" si="38"/>
        <v>396571.81429833325</v>
      </c>
      <c r="AV209" s="125">
        <f t="shared" si="32"/>
        <v>-48212.209210000001</v>
      </c>
      <c r="AW209" s="125">
        <f t="shared" si="39"/>
        <v>-8765.8562199999997</v>
      </c>
      <c r="AX209" s="125">
        <f>AI209*Valores!$C$76</f>
        <v>-11833.905896999999</v>
      </c>
      <c r="AY209" s="125">
        <f>AI209*Valores!$C$77</f>
        <v>-1314.8784330000001</v>
      </c>
      <c r="AZ209" s="125">
        <f t="shared" si="36"/>
        <v>412499.29457333323</v>
      </c>
      <c r="BA209" s="125">
        <f>AI209*Valores!$C$79</f>
        <v>70126.849759999997</v>
      </c>
      <c r="BB209" s="125">
        <f>AI209*Valores!$C$80</f>
        <v>30680.496770000002</v>
      </c>
      <c r="BC209" s="125">
        <f>AI209*Valores!$C$81</f>
        <v>4382.9281099999998</v>
      </c>
      <c r="BD209" s="125">
        <f>AI209*Valores!$C$83</f>
        <v>15340.248385000001</v>
      </c>
      <c r="BE209" s="125">
        <f>AI209*Valores!$C$85</f>
        <v>23667.811793999997</v>
      </c>
      <c r="BF209" s="125">
        <f>AI209*Valores!$C$84</f>
        <v>2629.7568660000002</v>
      </c>
      <c r="BG209" s="126"/>
      <c r="BH209" s="126">
        <f t="shared" si="31"/>
        <v>19</v>
      </c>
      <c r="BI209" s="123" t="s">
        <v>4</v>
      </c>
    </row>
    <row r="210" spans="1:61" s="110" customFormat="1" ht="11.25" customHeight="1" x14ac:dyDescent="0.15">
      <c r="A210" s="123" t="s">
        <v>465</v>
      </c>
      <c r="B210" s="123">
        <v>20</v>
      </c>
      <c r="C210" s="126">
        <v>203</v>
      </c>
      <c r="D210" s="124" t="str">
        <f t="shared" si="29"/>
        <v>Hora Cátedra Enseñanza Superior 20 hs</v>
      </c>
      <c r="E210" s="192">
        <f t="shared" si="30"/>
        <v>1980</v>
      </c>
      <c r="F210" s="125">
        <f>ROUND(E210*Valores!$C$2,2)</f>
        <v>153641.47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49478.67</v>
      </c>
      <c r="N210" s="125">
        <f t="shared" si="33"/>
        <v>0</v>
      </c>
      <c r="O210" s="125">
        <f>Valores!$C$7*B210</f>
        <v>52627.399999999994</v>
      </c>
      <c r="P210" s="125">
        <f>ROUND(IF(B210&lt;15,(Valores!$E$5*B210),Valores!$D$5),2)</f>
        <v>39667.43</v>
      </c>
      <c r="Q210" s="125">
        <v>0</v>
      </c>
      <c r="R210" s="125">
        <f>IF($F$4="NO",IF(Valores!$C$50*B210&gt;Valores!$F$47,Valores!$F$47,Valores!$C$50*B210),IF(Valores!$C$50*B210&gt;Valores!$F$47,Valores!$F$47,Valores!$C$50*B210)/2)</f>
        <v>27721.199999999997</v>
      </c>
      <c r="S210" s="125">
        <f>Valores!$C$18*B210</f>
        <v>16552</v>
      </c>
      <c r="T210" s="125">
        <f t="shared" si="40"/>
        <v>16552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IF(Valores!$C$99*B210&gt;Valores!$C$98,Valores!$C$98,Valores!$C$99*B210)</f>
        <v>50530</v>
      </c>
      <c r="AA210" s="125">
        <f>IF((Valores!$C$28)*B210&gt;Valores!$F$28,Valores!$F$28,(Valores!$C$28)*B210)</f>
        <v>1300.3999999999999</v>
      </c>
      <c r="AB210" s="214">
        <v>0</v>
      </c>
      <c r="AC210" s="125">
        <f t="shared" si="34"/>
        <v>0</v>
      </c>
      <c r="AD210" s="125">
        <f>IF(Valores!$C$29*B210&gt;Valores!$F$29,Valores!$F$29,Valores!$C$29*B210)</f>
        <v>1082.8</v>
      </c>
      <c r="AE210" s="192">
        <v>0</v>
      </c>
      <c r="AF210" s="125">
        <f>ROUND(AE210*Valores!$C$2,2)</f>
        <v>0</v>
      </c>
      <c r="AG210" s="125">
        <f>IF($F$4="NO",IF(Valores!$D$64*'Escala Docente'!B210&gt;Valores!$F$64,Valores!$F$64,Valores!$D$64*'Escala Docente'!B210),IF(Valores!$D$64*'Escala Docente'!B210&gt;Valores!$F$64,Valores!$F$64,Valores!$D$64*'Escala Docente'!B210)/2)+0.04</f>
        <v>24729.84</v>
      </c>
      <c r="AH210" s="125">
        <f>SUM(F210,H210,J210,L210,M210,N210,O210,P210,Q210,R210,T210,U210,V210,X210,Y210,Z210,AA210,AC210,AD210,AF210,AG210)*Valores!$C$104</f>
        <v>41733.121000000014</v>
      </c>
      <c r="AI210" s="125">
        <f t="shared" si="37"/>
        <v>459064.33100000012</v>
      </c>
      <c r="AJ210" s="125">
        <f>IF(Valores!$C$33*B210&gt;Valores!$F$33,Valores!$F$33,Valores!$C$33*B210)</f>
        <v>46666.666666666599</v>
      </c>
      <c r="AK210" s="125">
        <v>0</v>
      </c>
      <c r="AL210" s="125">
        <f>IF(Valores!$C$92*B210&gt;Valores!$C$91,Valores!$C$91,Valores!$C$92*B210)</f>
        <v>0</v>
      </c>
      <c r="AM210" s="125">
        <f>IF(Valores!C$40*B210&gt;Valores!F$39,Valores!F$39,Valores!C$40*B210)</f>
        <v>0</v>
      </c>
      <c r="AN210" s="125">
        <f>IF($F$3="NO",0,IF(Valores!$C$62*B210&gt;Valores!$F$62,Valores!$F$62,Valores!$C$62*B210))</f>
        <v>0</v>
      </c>
      <c r="AO210" s="125">
        <f t="shared" si="35"/>
        <v>46666.666666666599</v>
      </c>
      <c r="AP210" s="125">
        <f>AI210*Valores!$C$72</f>
        <v>-50497.076410000016</v>
      </c>
      <c r="AQ210" s="125">
        <f>IF(AI210&lt;Valores!$E$73,-0.02,IF(AI210&lt;Valores!$F$73,-0.03,-0.04))*AI210</f>
        <v>-9181.2866200000026</v>
      </c>
      <c r="AR210" s="125">
        <f>AI210*Valores!$C$75</f>
        <v>-25248.538205000008</v>
      </c>
      <c r="AS210" s="125">
        <f>Valores!$C$102</f>
        <v>-1270.1600000000001</v>
      </c>
      <c r="AT210" s="125">
        <f>IF($F$5=0,Valores!$C$103,(Valores!$C$103+$F$5*(Valores!$C$103)))</f>
        <v>-3700</v>
      </c>
      <c r="AU210" s="125">
        <f t="shared" si="38"/>
        <v>415833.93643166672</v>
      </c>
      <c r="AV210" s="125">
        <f t="shared" si="32"/>
        <v>-50497.076410000016</v>
      </c>
      <c r="AW210" s="125">
        <f t="shared" si="39"/>
        <v>-9181.2866200000026</v>
      </c>
      <c r="AX210" s="125">
        <f>AI210*Valores!$C$76</f>
        <v>-12394.736937000003</v>
      </c>
      <c r="AY210" s="125">
        <f>AI210*Valores!$C$77</f>
        <v>-1377.1929930000003</v>
      </c>
      <c r="AZ210" s="125">
        <f t="shared" si="36"/>
        <v>432280.7047066667</v>
      </c>
      <c r="BA210" s="125">
        <f>AI210*Valores!$C$79</f>
        <v>73450.292960000021</v>
      </c>
      <c r="BB210" s="125">
        <f>AI210*Valores!$C$80</f>
        <v>32134.503170000011</v>
      </c>
      <c r="BC210" s="125">
        <f>AI210*Valores!$C$81</f>
        <v>4590.6433100000013</v>
      </c>
      <c r="BD210" s="125">
        <f>AI210*Valores!$C$83</f>
        <v>16067.251585000005</v>
      </c>
      <c r="BE210" s="125">
        <f>AI210*Valores!$C$85</f>
        <v>24789.473874000007</v>
      </c>
      <c r="BF210" s="125">
        <f>AI210*Valores!$C$84</f>
        <v>2754.3859860000007</v>
      </c>
      <c r="BG210" s="126"/>
      <c r="BH210" s="126">
        <f t="shared" si="31"/>
        <v>20</v>
      </c>
      <c r="BI210" s="123" t="s">
        <v>4</v>
      </c>
    </row>
    <row r="211" spans="1:61" s="110" customFormat="1" ht="11.25" customHeight="1" x14ac:dyDescent="0.15">
      <c r="A211" s="123" t="s">
        <v>465</v>
      </c>
      <c r="B211" s="123">
        <v>21</v>
      </c>
      <c r="C211" s="126">
        <v>204</v>
      </c>
      <c r="D211" s="124" t="str">
        <f t="shared" si="29"/>
        <v>Hora Cátedra Enseñanza Superior 21 hs</v>
      </c>
      <c r="E211" s="192">
        <f t="shared" si="30"/>
        <v>2079</v>
      </c>
      <c r="F211" s="125">
        <f>ROUND(E211*Valores!$C$2,2)</f>
        <v>161323.54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51952.6</v>
      </c>
      <c r="N211" s="125">
        <f t="shared" si="33"/>
        <v>0</v>
      </c>
      <c r="O211" s="125">
        <f>Valores!$C$7*B211</f>
        <v>55258.77</v>
      </c>
      <c r="P211" s="125">
        <f>ROUND(IF(B211&lt;15,(Valores!$E$5*B211),Valores!$D$5),2)</f>
        <v>39667.43</v>
      </c>
      <c r="Q211" s="125">
        <v>0</v>
      </c>
      <c r="R211" s="125">
        <f>IF($F$4="NO",IF(Valores!$C$50*B211&gt;Valores!$F$47,Valores!$F$47,Valores!$C$50*B211),IF(Valores!$C$50*B211&gt;Valores!$F$47,Valores!$F$47,Valores!$C$50*B211)/2)</f>
        <v>29107.26</v>
      </c>
      <c r="S211" s="125">
        <f>Valores!$C$18*B211</f>
        <v>17379.600000000002</v>
      </c>
      <c r="T211" s="125">
        <f t="shared" si="40"/>
        <v>17379.599999999999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IF(Valores!$C$99*B211&gt;Valores!$C$98,Valores!$C$98,Valores!$C$99*B211)</f>
        <v>53056.5</v>
      </c>
      <c r="AA211" s="125">
        <f>IF((Valores!$C$28)*B211&gt;Valores!$F$28,Valores!$F$28,(Valores!$C$28)*B211)</f>
        <v>1365.4199999999998</v>
      </c>
      <c r="AB211" s="214">
        <v>0</v>
      </c>
      <c r="AC211" s="125">
        <f t="shared" si="34"/>
        <v>0</v>
      </c>
      <c r="AD211" s="125">
        <f>IF(Valores!$C$29*B211&gt;Valores!$F$29,Valores!$F$29,Valores!$C$29*B211)</f>
        <v>1136.94</v>
      </c>
      <c r="AE211" s="192">
        <v>0</v>
      </c>
      <c r="AF211" s="125">
        <f>ROUND(AE211*Valores!$C$2,2)</f>
        <v>0</v>
      </c>
      <c r="AG211" s="125">
        <f>IF($F$4="NO",IF(Valores!$D$64*'Escala Docente'!B211&gt;Valores!$F$64,Valores!$F$64,Valores!$D$64*'Escala Docente'!B211),IF(Valores!$D$64*'Escala Docente'!B211&gt;Valores!$F$64,Valores!$F$64,Valores!$D$64*'Escala Docente'!B211)/2)+0.05</f>
        <v>25966.34</v>
      </c>
      <c r="AH211" s="125">
        <f>SUM(F211,H211,J211,L211,M211,N211,O211,P211,Q211,R211,T211,U211,V211,X211,Y211,Z211,AA211,AC211,AD211,AF211,AG211)*Valores!$C$104</f>
        <v>43621.440000000002</v>
      </c>
      <c r="AI211" s="125">
        <f t="shared" si="37"/>
        <v>479835.84</v>
      </c>
      <c r="AJ211" s="125">
        <f>IF(Valores!$C$33*B211&gt;Valores!$F$33,Valores!$F$33,Valores!$C$33*B211)</f>
        <v>48999.999999999927</v>
      </c>
      <c r="AK211" s="125">
        <v>0</v>
      </c>
      <c r="AL211" s="125">
        <f>IF(Valores!$C$92*B211&gt;Valores!$C$91,Valores!$C$91,Valores!$C$92*B211)</f>
        <v>0</v>
      </c>
      <c r="AM211" s="125">
        <f>IF(Valores!C$40*B211&gt;Valores!F$39,Valores!F$39,Valores!C$40*B211)</f>
        <v>0</v>
      </c>
      <c r="AN211" s="125">
        <f>IF($F$3="NO",0,IF(Valores!$C$62*B211&gt;Valores!$F$62,Valores!$F$62,Valores!$C$62*B211))</f>
        <v>0</v>
      </c>
      <c r="AO211" s="125">
        <f t="shared" si="35"/>
        <v>48999.999999999927</v>
      </c>
      <c r="AP211" s="125">
        <f>AI211*Valores!$C$72</f>
        <v>-52781.9424</v>
      </c>
      <c r="AQ211" s="125">
        <f>IF(AI211&lt;Valores!$E$73,-0.02,IF(AI211&lt;Valores!$F$73,-0.03,-0.04))*AI211</f>
        <v>-9596.7168000000001</v>
      </c>
      <c r="AR211" s="125">
        <f>AI211*Valores!$C$75</f>
        <v>-26390.9712</v>
      </c>
      <c r="AS211" s="125">
        <f>Valores!$C$102</f>
        <v>-1270.1600000000001</v>
      </c>
      <c r="AT211" s="125">
        <f>IF($F$5=0,Valores!$C$103,(Valores!$C$103+$F$5*(Valores!$C$103)))</f>
        <v>-3700</v>
      </c>
      <c r="AU211" s="125">
        <f t="shared" si="38"/>
        <v>435096.04959999997</v>
      </c>
      <c r="AV211" s="125">
        <f t="shared" si="32"/>
        <v>-52781.9424</v>
      </c>
      <c r="AW211" s="125">
        <f t="shared" si="39"/>
        <v>-9596.7168000000001</v>
      </c>
      <c r="AX211" s="125">
        <f>AI211*Valores!$C$76</f>
        <v>-12955.56768</v>
      </c>
      <c r="AY211" s="125">
        <f>AI211*Valores!$C$77</f>
        <v>-1439.5075200000001</v>
      </c>
      <c r="AZ211" s="125">
        <f t="shared" si="36"/>
        <v>452062.10559999995</v>
      </c>
      <c r="BA211" s="125">
        <f>AI211*Valores!$C$79</f>
        <v>76773.734400000001</v>
      </c>
      <c r="BB211" s="125">
        <f>AI211*Valores!$C$80</f>
        <v>33588.508800000003</v>
      </c>
      <c r="BC211" s="125">
        <f>AI211*Valores!$C$81</f>
        <v>4798.3584000000001</v>
      </c>
      <c r="BD211" s="125">
        <f>AI211*Valores!$C$83</f>
        <v>16794.254400000002</v>
      </c>
      <c r="BE211" s="125">
        <f>AI211*Valores!$C$85</f>
        <v>25911.13536</v>
      </c>
      <c r="BF211" s="125">
        <f>AI211*Valores!$C$84</f>
        <v>2879.0150400000002</v>
      </c>
      <c r="BG211" s="126"/>
      <c r="BH211" s="126">
        <f t="shared" si="31"/>
        <v>21</v>
      </c>
      <c r="BI211" s="123" t="s">
        <v>8</v>
      </c>
    </row>
    <row r="212" spans="1:61" s="110" customFormat="1" ht="11.25" customHeight="1" x14ac:dyDescent="0.15">
      <c r="A212" s="123" t="s">
        <v>465</v>
      </c>
      <c r="B212" s="123">
        <v>22</v>
      </c>
      <c r="C212" s="126">
        <v>205</v>
      </c>
      <c r="D212" s="124" t="str">
        <f t="shared" si="29"/>
        <v>Hora Cátedra Enseñanza Superior 22 hs</v>
      </c>
      <c r="E212" s="192">
        <f t="shared" si="30"/>
        <v>2178</v>
      </c>
      <c r="F212" s="125">
        <f>ROUND(E212*Valores!$C$2,2)</f>
        <v>169005.61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54426.53</v>
      </c>
      <c r="N212" s="125">
        <f t="shared" si="33"/>
        <v>0</v>
      </c>
      <c r="O212" s="125">
        <f>Valores!$C$7*B212</f>
        <v>57890.14</v>
      </c>
      <c r="P212" s="125">
        <f>ROUND(IF(B212&lt;15,(Valores!$E$5*B212),Valores!$D$5),2)</f>
        <v>39667.43</v>
      </c>
      <c r="Q212" s="125">
        <v>0</v>
      </c>
      <c r="R212" s="125">
        <f>IF($F$4="NO",IF(Valores!$C$50*B212&gt;Valores!$F$47,Valores!$F$47,Valores!$C$50*B212),IF(Valores!$C$50*B212&gt;Valores!$F$47,Valores!$F$47,Valores!$C$50*B212)/2)</f>
        <v>30493.32</v>
      </c>
      <c r="S212" s="125">
        <f>Valores!$C$18*B212</f>
        <v>18207.2</v>
      </c>
      <c r="T212" s="125">
        <f t="shared" si="40"/>
        <v>18207.2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IF(Valores!$C$99*B212&gt;Valores!$C$98,Valores!$C$98,Valores!$C$99*B212)</f>
        <v>55583</v>
      </c>
      <c r="AA212" s="125">
        <f>IF((Valores!$C$28)*B212&gt;Valores!$F$28,Valores!$F$28,(Valores!$C$28)*B212)</f>
        <v>1430.4399999999998</v>
      </c>
      <c r="AB212" s="214">
        <v>0</v>
      </c>
      <c r="AC212" s="125">
        <f t="shared" si="34"/>
        <v>0</v>
      </c>
      <c r="AD212" s="125">
        <f>IF(Valores!$C$29*B212&gt;Valores!$F$29,Valores!$F$29,Valores!$C$29*B212)</f>
        <v>1191.08</v>
      </c>
      <c r="AE212" s="192">
        <v>0</v>
      </c>
      <c r="AF212" s="125">
        <f>ROUND(AE212*Valores!$C$2,2)</f>
        <v>0</v>
      </c>
      <c r="AG212" s="125">
        <f>IF($F$4="NO",IF(Valores!$D$64*'Escala Docente'!B212&gt;Valores!$F$64,Valores!$F$64,Valores!$D$64*'Escala Docente'!B212),IF(Valores!$D$64*'Escala Docente'!B212&gt;Valores!$F$64,Valores!$F$64,Valores!$D$64*'Escala Docente'!B212)/2)+0.05</f>
        <v>27202.829999999998</v>
      </c>
      <c r="AH212" s="125">
        <f>SUM(F212,H212,J212,L212,M212,N212,O212,P212,Q212,R212,T212,U212,V212,X212,Y212,Z212,AA212,AC212,AD212,AF212,AG212)*Valores!$C$104</f>
        <v>45509.758000000002</v>
      </c>
      <c r="AI212" s="125">
        <f t="shared" si="37"/>
        <v>500607.33799999999</v>
      </c>
      <c r="AJ212" s="125">
        <f>IF(Valores!$C$33*B212&gt;Valores!$F$33,Valores!$F$33,Valores!$C$33*B212)</f>
        <v>51333.333333333256</v>
      </c>
      <c r="AK212" s="125">
        <v>0</v>
      </c>
      <c r="AL212" s="125">
        <f>IF(Valores!$C$92*B212&gt;Valores!$C$91,Valores!$C$91,Valores!$C$92*B212)</f>
        <v>0</v>
      </c>
      <c r="AM212" s="125">
        <f>IF(Valores!C$40*B212&gt;Valores!F$39,Valores!F$39,Valores!C$40*B212)</f>
        <v>0</v>
      </c>
      <c r="AN212" s="125">
        <f>IF($F$3="NO",0,IF(Valores!$C$62*B212&gt;Valores!$F$62,Valores!$F$62,Valores!$C$62*B212))</f>
        <v>0</v>
      </c>
      <c r="AO212" s="125">
        <f t="shared" si="35"/>
        <v>51333.333333333256</v>
      </c>
      <c r="AP212" s="125">
        <f>AI212*Valores!$C$72</f>
        <v>-55066.807179999996</v>
      </c>
      <c r="AQ212" s="125">
        <f>IF(AI212&lt;Valores!$E$73,-0.02,IF(AI212&lt;Valores!$F$73,-0.03,-0.04))*AI212</f>
        <v>-10012.14676</v>
      </c>
      <c r="AR212" s="125">
        <f>AI212*Valores!$C$75</f>
        <v>-27533.403589999998</v>
      </c>
      <c r="AS212" s="125">
        <f>Valores!$C$102</f>
        <v>-1270.1600000000001</v>
      </c>
      <c r="AT212" s="125">
        <f>IF($F$5=0,Valores!$C$103,(Valores!$C$103+$F$5*(Valores!$C$103)))</f>
        <v>-3700</v>
      </c>
      <c r="AU212" s="125">
        <f t="shared" si="38"/>
        <v>454358.15380333323</v>
      </c>
      <c r="AV212" s="125">
        <f t="shared" si="32"/>
        <v>-55066.807179999996</v>
      </c>
      <c r="AW212" s="125">
        <f t="shared" si="39"/>
        <v>-10012.14676</v>
      </c>
      <c r="AX212" s="125">
        <f>AI212*Valores!$C$76</f>
        <v>-13516.398126</v>
      </c>
      <c r="AY212" s="125">
        <f>AI212*Valores!$C$77</f>
        <v>-1501.8220140000001</v>
      </c>
      <c r="AZ212" s="125">
        <f t="shared" si="36"/>
        <v>471843.49725333322</v>
      </c>
      <c r="BA212" s="125">
        <f>AI212*Valores!$C$79</f>
        <v>80097.174079999997</v>
      </c>
      <c r="BB212" s="125">
        <f>AI212*Valores!$C$80</f>
        <v>35042.513660000004</v>
      </c>
      <c r="BC212" s="125">
        <f>AI212*Valores!$C$81</f>
        <v>5006.0733799999998</v>
      </c>
      <c r="BD212" s="125">
        <f>AI212*Valores!$C$83</f>
        <v>17521.256830000002</v>
      </c>
      <c r="BE212" s="125">
        <f>AI212*Valores!$C$85</f>
        <v>27032.796252</v>
      </c>
      <c r="BF212" s="125">
        <f>AI212*Valores!$C$84</f>
        <v>3003.6440280000002</v>
      </c>
      <c r="BG212" s="126"/>
      <c r="BH212" s="126">
        <f t="shared" si="31"/>
        <v>22</v>
      </c>
      <c r="BI212" s="123" t="s">
        <v>4</v>
      </c>
    </row>
    <row r="213" spans="1:61" s="110" customFormat="1" ht="11.25" customHeight="1" x14ac:dyDescent="0.15">
      <c r="A213" s="123" t="s">
        <v>465</v>
      </c>
      <c r="B213" s="123">
        <v>23</v>
      </c>
      <c r="C213" s="126">
        <v>206</v>
      </c>
      <c r="D213" s="124" t="str">
        <f t="shared" si="29"/>
        <v>Hora Cátedra Enseñanza Superior 23 hs</v>
      </c>
      <c r="E213" s="192">
        <f t="shared" si="30"/>
        <v>2277</v>
      </c>
      <c r="F213" s="125">
        <f>ROUND(E213*Valores!$C$2,2)</f>
        <v>176687.69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56900.47</v>
      </c>
      <c r="N213" s="125">
        <f t="shared" si="33"/>
        <v>0</v>
      </c>
      <c r="O213" s="125">
        <f>Valores!$C$7*B213</f>
        <v>60521.509999999995</v>
      </c>
      <c r="P213" s="125">
        <f>ROUND(IF(B213&lt;15,(Valores!$E$5*B213),Valores!$D$5),2)</f>
        <v>39667.43</v>
      </c>
      <c r="Q213" s="125">
        <v>0</v>
      </c>
      <c r="R213" s="125">
        <f>IF($F$4="NO",IF(Valores!$C$50*B213&gt;Valores!$F$47,Valores!$F$47,Valores!$C$50*B213),IF(Valores!$C$50*B213&gt;Valores!$F$47,Valores!$F$47,Valores!$C$50*B213)/2)</f>
        <v>31879.379999999997</v>
      </c>
      <c r="S213" s="125">
        <f>Valores!$C$18*B213</f>
        <v>19034.8</v>
      </c>
      <c r="T213" s="125">
        <f t="shared" si="40"/>
        <v>19034.8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IF(Valores!$C$99*B213&gt;Valores!$C$98,Valores!$C$98,Valores!$C$99*B213)</f>
        <v>58109.5</v>
      </c>
      <c r="AA213" s="125">
        <f>IF((Valores!$C$28)*B213&gt;Valores!$F$28,Valores!$F$28,(Valores!$C$28)*B213)</f>
        <v>1495.4599999999998</v>
      </c>
      <c r="AB213" s="214">
        <v>0</v>
      </c>
      <c r="AC213" s="125">
        <f t="shared" si="34"/>
        <v>0</v>
      </c>
      <c r="AD213" s="125">
        <f>IF(Valores!$C$29*B213&gt;Valores!$F$29,Valores!$F$29,Valores!$C$29*B213)</f>
        <v>1245.22</v>
      </c>
      <c r="AE213" s="192">
        <v>0</v>
      </c>
      <c r="AF213" s="125">
        <f>ROUND(AE213*Valores!$C$2,2)</f>
        <v>0</v>
      </c>
      <c r="AG213" s="125">
        <f>IF($F$4="NO",IF(Valores!$D$64*'Escala Docente'!B213&gt;Valores!$F$64,Valores!$F$64,Valores!$D$64*'Escala Docente'!B213),IF(Valores!$D$64*'Escala Docente'!B213&gt;Valores!$F$64,Valores!$F$64,Valores!$D$64*'Escala Docente'!B213)/2)+0.05</f>
        <v>28439.32</v>
      </c>
      <c r="AH213" s="125">
        <f>SUM(F213,H213,J213,L213,M213,N213,O213,P213,Q213,R213,T213,U213,V213,X213,Y213,Z213,AA213,AC213,AD213,AF213,AG213)*Valores!$C$104</f>
        <v>47398.078000000001</v>
      </c>
      <c r="AI213" s="125">
        <f t="shared" si="37"/>
        <v>521378.85799999995</v>
      </c>
      <c r="AJ213" s="125">
        <f>IF(Valores!$C$33*B213&gt;Valores!$F$33,Valores!$F$33,Valores!$C$33*B213)</f>
        <v>53666.666666666584</v>
      </c>
      <c r="AK213" s="125">
        <v>0</v>
      </c>
      <c r="AL213" s="125">
        <f>IF(Valores!$C$92*B213&gt;Valores!$C$91,Valores!$C$91,Valores!$C$92*B213)</f>
        <v>0</v>
      </c>
      <c r="AM213" s="125">
        <f>IF(Valores!C$40*B213&gt;Valores!F$39,Valores!F$39,Valores!C$40*B213)</f>
        <v>0</v>
      </c>
      <c r="AN213" s="125">
        <f>IF($F$3="NO",0,IF(Valores!$C$62*B213&gt;Valores!$F$62,Valores!$F$62,Valores!$C$62*B213))</f>
        <v>0</v>
      </c>
      <c r="AO213" s="125">
        <f t="shared" si="35"/>
        <v>53666.666666666584</v>
      </c>
      <c r="AP213" s="125">
        <f>AI213*Valores!$C$72</f>
        <v>-57351.674379999997</v>
      </c>
      <c r="AQ213" s="125">
        <f>IF(AI213&lt;Valores!$E$73,-0.02,IF(AI213&lt;Valores!$F$73,-0.03,-0.04))*AI213</f>
        <v>-10427.577159999999</v>
      </c>
      <c r="AR213" s="125">
        <f>AI213*Valores!$C$75</f>
        <v>-28675.837189999998</v>
      </c>
      <c r="AS213" s="125">
        <f>Valores!$C$102</f>
        <v>-1270.1600000000001</v>
      </c>
      <c r="AT213" s="125">
        <f>IF($F$5=0,Valores!$C$103,(Valores!$C$103+$F$5*(Valores!$C$103)))</f>
        <v>-3700</v>
      </c>
      <c r="AU213" s="125">
        <f t="shared" si="38"/>
        <v>473620.27593666653</v>
      </c>
      <c r="AV213" s="125">
        <f t="shared" si="32"/>
        <v>-57351.674379999997</v>
      </c>
      <c r="AW213" s="125">
        <f t="shared" si="39"/>
        <v>-10427.577159999999</v>
      </c>
      <c r="AX213" s="125">
        <f>AI213*Valores!$C$76</f>
        <v>-14077.229165999999</v>
      </c>
      <c r="AY213" s="125">
        <f>AI213*Valores!$C$77</f>
        <v>-1564.1365739999999</v>
      </c>
      <c r="AZ213" s="125">
        <f t="shared" si="36"/>
        <v>491624.90738666651</v>
      </c>
      <c r="BA213" s="125">
        <f>AI213*Valores!$C$79</f>
        <v>83420.617279999991</v>
      </c>
      <c r="BB213" s="125">
        <f>AI213*Valores!$C$80</f>
        <v>36496.520060000003</v>
      </c>
      <c r="BC213" s="125">
        <f>AI213*Valores!$C$81</f>
        <v>5213.7885799999995</v>
      </c>
      <c r="BD213" s="125">
        <f>AI213*Valores!$C$83</f>
        <v>18248.260030000001</v>
      </c>
      <c r="BE213" s="125">
        <f>AI213*Valores!$C$85</f>
        <v>28154.458331999998</v>
      </c>
      <c r="BF213" s="125">
        <f>AI213*Valores!$C$84</f>
        <v>3128.2731479999998</v>
      </c>
      <c r="BG213" s="126"/>
      <c r="BH213" s="126">
        <f t="shared" si="31"/>
        <v>23</v>
      </c>
      <c r="BI213" s="123" t="s">
        <v>8</v>
      </c>
    </row>
    <row r="214" spans="1:61" s="110" customFormat="1" ht="11.25" customHeight="1" x14ac:dyDescent="0.15">
      <c r="A214" s="123" t="s">
        <v>465</v>
      </c>
      <c r="B214" s="123">
        <v>24</v>
      </c>
      <c r="C214" s="126">
        <v>207</v>
      </c>
      <c r="D214" s="124" t="str">
        <f t="shared" si="29"/>
        <v>Hora Cátedra Enseñanza Superior 24 hs</v>
      </c>
      <c r="E214" s="192">
        <f t="shared" si="30"/>
        <v>2376</v>
      </c>
      <c r="F214" s="125">
        <f>ROUND(E214*Valores!$C$2,2)</f>
        <v>184369.76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59374.400000000001</v>
      </c>
      <c r="N214" s="125">
        <f t="shared" si="33"/>
        <v>0</v>
      </c>
      <c r="O214" s="125">
        <f>Valores!$C$7*B214</f>
        <v>63152.88</v>
      </c>
      <c r="P214" s="125">
        <f>ROUND(IF(B214&lt;15,(Valores!$E$5*B214),Valores!$D$5),2)</f>
        <v>39667.43</v>
      </c>
      <c r="Q214" s="125">
        <v>0</v>
      </c>
      <c r="R214" s="125">
        <f>IF($F$4="NO",IF(Valores!$C$50*B214&gt;Valores!$F$47,Valores!$F$47,Valores!$C$50*B214),IF(Valores!$C$50*B214&gt;Valores!$F$47,Valores!$F$47,Valores!$C$50*B214)/2)</f>
        <v>33265.440000000002</v>
      </c>
      <c r="S214" s="125">
        <f>Valores!$C$18*B214</f>
        <v>19862.400000000001</v>
      </c>
      <c r="T214" s="125">
        <f t="shared" si="40"/>
        <v>19862.400000000001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IF(Valores!$C$99*B214&gt;Valores!$C$98,Valores!$C$98,Valores!$C$99*B214)</f>
        <v>60636</v>
      </c>
      <c r="AA214" s="125">
        <f>IF((Valores!$C$28)*B214&gt;Valores!$F$28,Valores!$F$28,(Valores!$C$28)*B214)</f>
        <v>1560.48</v>
      </c>
      <c r="AB214" s="214">
        <v>0</v>
      </c>
      <c r="AC214" s="125">
        <f t="shared" si="34"/>
        <v>0</v>
      </c>
      <c r="AD214" s="125">
        <f>IF(Valores!$C$29*B214&gt;Valores!$F$29,Valores!$F$29,Valores!$C$29*B214)</f>
        <v>1299.3600000000001</v>
      </c>
      <c r="AE214" s="192">
        <v>0</v>
      </c>
      <c r="AF214" s="125">
        <f>ROUND(AE214*Valores!$C$2,2)</f>
        <v>0</v>
      </c>
      <c r="AG214" s="125">
        <f>IF($F$4="NO",IF(Valores!$D$64*'Escala Docente'!B214&gt;Valores!$F$64,Valores!$F$64,Valores!$D$64*'Escala Docente'!B214),IF(Valores!$D$64*'Escala Docente'!B214&gt;Valores!$F$64,Valores!$F$64,Valores!$D$64*'Escala Docente'!B214)/2)+0.05</f>
        <v>29675.81</v>
      </c>
      <c r="AH214" s="125">
        <f>SUM(F214,H214,J214,L214,M214,N214,O214,P214,Q214,R214,T214,U214,V214,X214,Y214,Z214,AA214,AC214,AD214,AF214,AG214)*Valores!$C$104</f>
        <v>49286.396000000001</v>
      </c>
      <c r="AI214" s="125">
        <f t="shared" si="37"/>
        <v>542150.35599999991</v>
      </c>
      <c r="AJ214" s="125">
        <f>IF(Valores!$C$33*B214&gt;Valores!$F$33,Valores!$F$33,Valores!$C$33*B214)</f>
        <v>55999.999999999913</v>
      </c>
      <c r="AK214" s="125">
        <v>0</v>
      </c>
      <c r="AL214" s="125">
        <f>IF(Valores!$C$92*B214&gt;Valores!$C$91,Valores!$C$91,Valores!$C$92*B214)</f>
        <v>0</v>
      </c>
      <c r="AM214" s="125">
        <f>IF(Valores!C$40*B214&gt;Valores!F$39,Valores!F$39,Valores!C$40*B214)</f>
        <v>0</v>
      </c>
      <c r="AN214" s="125">
        <f>IF($F$3="NO",0,IF(Valores!$C$62*B214&gt;Valores!$F$62,Valores!$F$62,Valores!$C$62*B214))</f>
        <v>0</v>
      </c>
      <c r="AO214" s="125">
        <f t="shared" si="35"/>
        <v>55999.999999999913</v>
      </c>
      <c r="AP214" s="125">
        <f>AI214*Valores!$C$72</f>
        <v>-59636.539159999993</v>
      </c>
      <c r="AQ214" s="125">
        <f>IF(AI214&lt;Valores!$E$73,-0.02,IF(AI214&lt;Valores!$F$73,-0.03,-0.04))*AI214</f>
        <v>-10843.007119999998</v>
      </c>
      <c r="AR214" s="125">
        <f>AI214*Valores!$C$75</f>
        <v>-29818.269579999996</v>
      </c>
      <c r="AS214" s="125">
        <f>Valores!$C$102</f>
        <v>-1270.1600000000001</v>
      </c>
      <c r="AT214" s="125">
        <f>IF($F$5=0,Valores!$C$103,(Valores!$C$103+$F$5*(Valores!$C$103)))</f>
        <v>-3700</v>
      </c>
      <c r="AU214" s="125">
        <f t="shared" si="38"/>
        <v>492882.38013999985</v>
      </c>
      <c r="AV214" s="125">
        <f t="shared" si="32"/>
        <v>-59636.539159999993</v>
      </c>
      <c r="AW214" s="125">
        <f t="shared" si="39"/>
        <v>-10843.007119999998</v>
      </c>
      <c r="AX214" s="125">
        <f>AI214*Valores!$C$76</f>
        <v>-14638.059611999997</v>
      </c>
      <c r="AY214" s="125">
        <f>AI214*Valores!$C$77</f>
        <v>-1626.4510679999999</v>
      </c>
      <c r="AZ214" s="125">
        <f t="shared" si="36"/>
        <v>511406.29903999984</v>
      </c>
      <c r="BA214" s="125">
        <f>AI214*Valores!$C$79</f>
        <v>86744.056959999987</v>
      </c>
      <c r="BB214" s="125">
        <f>AI214*Valores!$C$80</f>
        <v>37950.524919999996</v>
      </c>
      <c r="BC214" s="125">
        <f>AI214*Valores!$C$81</f>
        <v>5421.5035599999992</v>
      </c>
      <c r="BD214" s="125">
        <f>AI214*Valores!$C$83</f>
        <v>18975.262459999998</v>
      </c>
      <c r="BE214" s="125">
        <f>AI214*Valores!$C$85</f>
        <v>29276.119223999995</v>
      </c>
      <c r="BF214" s="125">
        <f>AI214*Valores!$C$84</f>
        <v>3252.9021359999997</v>
      </c>
      <c r="BG214" s="126"/>
      <c r="BH214" s="126">
        <f t="shared" si="31"/>
        <v>24</v>
      </c>
      <c r="BI214" s="123" t="s">
        <v>8</v>
      </c>
    </row>
    <row r="215" spans="1:61" s="110" customFormat="1" ht="11.25" customHeight="1" x14ac:dyDescent="0.15">
      <c r="A215" s="123" t="s">
        <v>465</v>
      </c>
      <c r="B215" s="123">
        <v>25</v>
      </c>
      <c r="C215" s="126">
        <v>208</v>
      </c>
      <c r="D215" s="124" t="str">
        <f t="shared" si="29"/>
        <v>Hora Cátedra Enseñanza Superior 25 hs</v>
      </c>
      <c r="E215" s="192">
        <f t="shared" si="30"/>
        <v>2475</v>
      </c>
      <c r="F215" s="125">
        <f>ROUND(E215*Valores!$C$2,2)</f>
        <v>192051.83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61848.33</v>
      </c>
      <c r="N215" s="125">
        <f t="shared" si="33"/>
        <v>0</v>
      </c>
      <c r="O215" s="125">
        <f>Valores!$C$7*B215</f>
        <v>65784.25</v>
      </c>
      <c r="P215" s="125">
        <f>ROUND(IF(B215&lt;15,(Valores!$E$5*B215),Valores!$D$5),2)</f>
        <v>39667.43</v>
      </c>
      <c r="Q215" s="125">
        <v>0</v>
      </c>
      <c r="R215" s="125">
        <f>IF($F$4="NO",IF(Valores!$C$50*B215&gt;Valores!$F$47,Valores!$F$47,Valores!$C$50*B215),IF(Valores!$C$50*B215&gt;Valores!$F$47,Valores!$F$47,Valores!$C$50*B215)/2)</f>
        <v>34651.5</v>
      </c>
      <c r="S215" s="125">
        <f>Valores!$C$18*B215</f>
        <v>20690</v>
      </c>
      <c r="T215" s="125">
        <f t="shared" si="40"/>
        <v>20690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IF(Valores!$C$99*B215&gt;Valores!$C$98,Valores!$C$98,Valores!$C$99*B215)</f>
        <v>63162.5</v>
      </c>
      <c r="AA215" s="125">
        <f>IF((Valores!$C$28)*B215&gt;Valores!$F$28,Valores!$F$28,(Valores!$C$28)*B215)</f>
        <v>1625.5</v>
      </c>
      <c r="AB215" s="214">
        <v>0</v>
      </c>
      <c r="AC215" s="125">
        <f t="shared" si="34"/>
        <v>0</v>
      </c>
      <c r="AD215" s="125">
        <f>IF(Valores!$C$29*B215&gt;Valores!$F$29,Valores!$F$29,Valores!$C$29*B215)</f>
        <v>1353.5</v>
      </c>
      <c r="AE215" s="192">
        <v>0</v>
      </c>
      <c r="AF215" s="125">
        <f>ROUND(AE215*Valores!$C$2,2)</f>
        <v>0</v>
      </c>
      <c r="AG215" s="125">
        <f>IF($F$4="NO",IF(Valores!$D$64*'Escala Docente'!B215&gt;Valores!$F$64,Valores!$F$64,Valores!$D$64*'Escala Docente'!B215),IF(Valores!$D$64*'Escala Docente'!B215&gt;Valores!$F$64,Valores!$F$64,Valores!$D$64*'Escala Docente'!B215)/2)+0.05</f>
        <v>30912.3</v>
      </c>
      <c r="AH215" s="125">
        <f>SUM(F215,H215,J215,L215,M215,N215,O215,P215,Q215,R215,T215,U215,V215,X215,Y215,Z215,AA215,AC215,AD215,AF215,AG215)*Valores!$C$104</f>
        <v>51174.714</v>
      </c>
      <c r="AI215" s="125">
        <f t="shared" si="37"/>
        <v>562921.85399999993</v>
      </c>
      <c r="AJ215" s="125">
        <f>IF(Valores!$C$33*B215&gt;Valores!$F$33,Valores!$F$33,Valores!$C$33*B215)</f>
        <v>58333.333333333248</v>
      </c>
      <c r="AK215" s="125">
        <v>0</v>
      </c>
      <c r="AL215" s="125">
        <f>IF(Valores!$C$92*B215&gt;Valores!$C$91,Valores!$C$91,Valores!$C$92*B215)</f>
        <v>0</v>
      </c>
      <c r="AM215" s="125">
        <f>IF(Valores!C$40*B215&gt;Valores!F$39,Valores!F$39,Valores!C$40*B215)</f>
        <v>0</v>
      </c>
      <c r="AN215" s="125">
        <f>IF($F$3="NO",0,IF(Valores!$C$62*B215&gt;Valores!$F$62,Valores!$F$62,Valores!$C$62*B215))</f>
        <v>0</v>
      </c>
      <c r="AO215" s="125">
        <f t="shared" si="35"/>
        <v>58333.333333333248</v>
      </c>
      <c r="AP215" s="125">
        <f>AI215*Valores!$C$72</f>
        <v>-61921.403939999997</v>
      </c>
      <c r="AQ215" s="125">
        <f>IF(AI215&lt;Valores!$E$73,-0.02,IF(AI215&lt;Valores!$F$73,-0.03,-0.04))*AI215</f>
        <v>-11258.43708</v>
      </c>
      <c r="AR215" s="125">
        <f>AI215*Valores!$C$75</f>
        <v>-30960.701969999998</v>
      </c>
      <c r="AS215" s="125">
        <f>Valores!$C$102</f>
        <v>-1270.1600000000001</v>
      </c>
      <c r="AT215" s="125">
        <f>IF($F$5=0,Valores!$C$103,(Valores!$C$103+$F$5*(Valores!$C$103)))</f>
        <v>-3700</v>
      </c>
      <c r="AU215" s="125">
        <f t="shared" si="38"/>
        <v>512144.48434333317</v>
      </c>
      <c r="AV215" s="125">
        <f t="shared" si="32"/>
        <v>-61921.403939999997</v>
      </c>
      <c r="AW215" s="125">
        <f t="shared" si="39"/>
        <v>-11258.43708</v>
      </c>
      <c r="AX215" s="125">
        <f>AI215*Valores!$C$76</f>
        <v>-15198.890057999997</v>
      </c>
      <c r="AY215" s="125">
        <f>AI215*Valores!$C$77</f>
        <v>-1688.7655619999998</v>
      </c>
      <c r="AZ215" s="125">
        <f t="shared" si="36"/>
        <v>531187.69069333316</v>
      </c>
      <c r="BA215" s="125">
        <f>AI215*Valores!$C$79</f>
        <v>90067.496639999998</v>
      </c>
      <c r="BB215" s="125">
        <f>AI215*Valores!$C$80</f>
        <v>39404.529779999997</v>
      </c>
      <c r="BC215" s="125">
        <f>AI215*Valores!$C$81</f>
        <v>5629.2185399999998</v>
      </c>
      <c r="BD215" s="125">
        <f>AI215*Valores!$C$83</f>
        <v>19702.264889999999</v>
      </c>
      <c r="BE215" s="125">
        <f>AI215*Valores!$C$85</f>
        <v>30397.780115999994</v>
      </c>
      <c r="BF215" s="125">
        <f>AI215*Valores!$C$84</f>
        <v>3377.5311239999996</v>
      </c>
      <c r="BG215" s="126"/>
      <c r="BH215" s="126">
        <f t="shared" si="31"/>
        <v>25</v>
      </c>
      <c r="BI215" s="123" t="s">
        <v>4</v>
      </c>
    </row>
    <row r="216" spans="1:61" s="110" customFormat="1" ht="11.25" customHeight="1" x14ac:dyDescent="0.15">
      <c r="A216" s="123" t="s">
        <v>465</v>
      </c>
      <c r="B216" s="123">
        <v>26</v>
      </c>
      <c r="C216" s="126">
        <v>209</v>
      </c>
      <c r="D216" s="124" t="str">
        <f t="shared" si="29"/>
        <v>Hora Cátedra Enseñanza Superior 26 hs</v>
      </c>
      <c r="E216" s="192">
        <f t="shared" si="30"/>
        <v>2574</v>
      </c>
      <c r="F216" s="125">
        <f>ROUND(E216*Valores!$C$2,2)</f>
        <v>199733.91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64322.27</v>
      </c>
      <c r="N216" s="125">
        <f t="shared" si="33"/>
        <v>0</v>
      </c>
      <c r="O216" s="125">
        <f>Valores!$C$7*B216</f>
        <v>68415.62</v>
      </c>
      <c r="P216" s="125">
        <f>ROUND(IF(B216&lt;15,(Valores!$E$5*B216),Valores!$D$5),2)</f>
        <v>39667.43</v>
      </c>
      <c r="Q216" s="125">
        <v>0</v>
      </c>
      <c r="R216" s="125">
        <f>IF($F$4="NO",IF(Valores!$C$50*B216&gt;Valores!$F$47,Valores!$F$47,Valores!$C$50*B216),IF(Valores!$C$50*B216&gt;Valores!$F$47,Valores!$F$47,Valores!$C$50*B216)/2)</f>
        <v>36037.56</v>
      </c>
      <c r="S216" s="125">
        <f>Valores!$C$18*B216</f>
        <v>21517.600000000002</v>
      </c>
      <c r="T216" s="125">
        <f t="shared" si="40"/>
        <v>21517.599999999999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IF(Valores!$C$99*B216&gt;Valores!$C$98,Valores!$C$98,Valores!$C$99*B216)</f>
        <v>65689</v>
      </c>
      <c r="AA216" s="125">
        <f>IF((Valores!$C$28)*B216&gt;Valores!$F$28,Valores!$F$28,(Valores!$C$28)*B216)</f>
        <v>1690.52</v>
      </c>
      <c r="AB216" s="214">
        <v>0</v>
      </c>
      <c r="AC216" s="125">
        <f t="shared" si="34"/>
        <v>0</v>
      </c>
      <c r="AD216" s="125">
        <f>IF(Valores!$C$29*B216&gt;Valores!$F$29,Valores!$F$29,Valores!$C$29*B216)</f>
        <v>1407.64</v>
      </c>
      <c r="AE216" s="192">
        <v>0</v>
      </c>
      <c r="AF216" s="125">
        <f>ROUND(AE216*Valores!$C$2,2)</f>
        <v>0</v>
      </c>
      <c r="AG216" s="125">
        <f>IF($F$4="NO",IF(Valores!$D$64*'Escala Docente'!B216&gt;Valores!$F$64,Valores!$F$64,Valores!$D$64*'Escala Docente'!B216),IF(Valores!$D$64*'Escala Docente'!B216&gt;Valores!$F$64,Valores!$F$64,Valores!$D$64*'Escala Docente'!B216)/2)+0.05</f>
        <v>32148.79</v>
      </c>
      <c r="AH216" s="125">
        <f>SUM(F216,H216,J216,L216,M216,N216,O216,P216,Q216,R216,T216,U216,V216,X216,Y216,Z216,AA216,AC216,AD216,AF216,AG216)*Valores!$C$104</f>
        <v>53063.034</v>
      </c>
      <c r="AI216" s="125">
        <f t="shared" si="37"/>
        <v>583693.37399999995</v>
      </c>
      <c r="AJ216" s="125">
        <f>IF(Valores!$C$33*B216&gt;Valores!$F$33,Valores!$F$33,Valores!$C$33*B216)</f>
        <v>60666.666666666577</v>
      </c>
      <c r="AK216" s="125">
        <v>0</v>
      </c>
      <c r="AL216" s="125">
        <f>IF(Valores!$C$92*B216&gt;Valores!$C$91,Valores!$C$91,Valores!$C$92*B216)</f>
        <v>0</v>
      </c>
      <c r="AM216" s="125">
        <f>IF(Valores!C$40*B216&gt;Valores!F$39,Valores!F$39,Valores!C$40*B216)</f>
        <v>0</v>
      </c>
      <c r="AN216" s="125">
        <f>IF($F$3="NO",0,IF(Valores!$C$62*B216&gt;Valores!$F$62,Valores!$F$62,Valores!$C$62*B216))</f>
        <v>0</v>
      </c>
      <c r="AO216" s="125">
        <f t="shared" si="35"/>
        <v>60666.666666666577</v>
      </c>
      <c r="AP216" s="125">
        <f>AI216*Valores!$C$72</f>
        <v>-64206.271139999997</v>
      </c>
      <c r="AQ216" s="125">
        <f>IF(AI216&lt;Valores!$E$73,-0.02,IF(AI216&lt;Valores!$F$73,-0.03,-0.04))*AI216</f>
        <v>-11673.867479999999</v>
      </c>
      <c r="AR216" s="125">
        <f>AI216*Valores!$C$75</f>
        <v>-32103.135569999999</v>
      </c>
      <c r="AS216" s="125">
        <f>Valores!$C$102</f>
        <v>-1270.1600000000001</v>
      </c>
      <c r="AT216" s="125">
        <f>IF($F$5=0,Valores!$C$103,(Valores!$C$103+$F$5*(Valores!$C$103)))</f>
        <v>-3700</v>
      </c>
      <c r="AU216" s="125">
        <f t="shared" si="38"/>
        <v>531406.60647666652</v>
      </c>
      <c r="AV216" s="125">
        <f t="shared" si="32"/>
        <v>-64206.271139999997</v>
      </c>
      <c r="AW216" s="125">
        <f t="shared" si="39"/>
        <v>-11673.867479999999</v>
      </c>
      <c r="AX216" s="125">
        <f>AI216*Valores!$C$76</f>
        <v>-15759.721097999998</v>
      </c>
      <c r="AY216" s="125">
        <f>AI216*Valores!$C$77</f>
        <v>-1751.0801219999998</v>
      </c>
      <c r="AZ216" s="125">
        <f t="shared" si="36"/>
        <v>550969.10082666657</v>
      </c>
      <c r="BA216" s="125">
        <f>AI216*Valores!$C$79</f>
        <v>93390.939839999992</v>
      </c>
      <c r="BB216" s="125">
        <f>AI216*Valores!$C$80</f>
        <v>40858.536180000003</v>
      </c>
      <c r="BC216" s="125">
        <f>AI216*Valores!$C$81</f>
        <v>5836.9337399999995</v>
      </c>
      <c r="BD216" s="125">
        <f>AI216*Valores!$C$83</f>
        <v>20429.268090000001</v>
      </c>
      <c r="BE216" s="125">
        <f>AI216*Valores!$C$85</f>
        <v>31519.442195999996</v>
      </c>
      <c r="BF216" s="125">
        <f>AI216*Valores!$C$84</f>
        <v>3502.1602439999997</v>
      </c>
      <c r="BG216" s="126"/>
      <c r="BH216" s="126">
        <f t="shared" si="31"/>
        <v>26</v>
      </c>
      <c r="BI216" s="123" t="s">
        <v>8</v>
      </c>
    </row>
    <row r="217" spans="1:61" s="110" customFormat="1" ht="11.25" customHeight="1" x14ac:dyDescent="0.15">
      <c r="A217" s="123" t="s">
        <v>465</v>
      </c>
      <c r="B217" s="123">
        <v>27</v>
      </c>
      <c r="C217" s="126">
        <v>210</v>
      </c>
      <c r="D217" s="124" t="str">
        <f t="shared" si="29"/>
        <v>Hora Cátedra Enseñanza Superior 27 hs</v>
      </c>
      <c r="E217" s="192">
        <f t="shared" si="30"/>
        <v>2673</v>
      </c>
      <c r="F217" s="125">
        <f>ROUND(E217*Valores!$C$2,2)</f>
        <v>207415.98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66796.2</v>
      </c>
      <c r="N217" s="125">
        <f t="shared" si="33"/>
        <v>0</v>
      </c>
      <c r="O217" s="125">
        <f>Valores!$C$7*B217</f>
        <v>71046.989999999991</v>
      </c>
      <c r="P217" s="125">
        <f>ROUND(IF(B217&lt;15,(Valores!$E$5*B217),Valores!$D$5),2)</f>
        <v>39667.43</v>
      </c>
      <c r="Q217" s="125">
        <v>0</v>
      </c>
      <c r="R217" s="125">
        <f>IF($F$4="NO",IF(Valores!$C$50*B217&gt;Valores!$F$47,Valores!$F$47,Valores!$C$50*B217),IF(Valores!$C$50*B217&gt;Valores!$F$47,Valores!$F$47,Valores!$C$50*B217)/2)</f>
        <v>37423.619999999995</v>
      </c>
      <c r="S217" s="125">
        <f>Valores!$C$18*B217</f>
        <v>22345.200000000001</v>
      </c>
      <c r="T217" s="125">
        <f t="shared" si="40"/>
        <v>22345.200000000001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IF(Valores!$C$99*B217&gt;Valores!$C$98,Valores!$C$98,Valores!$C$99*B217)</f>
        <v>68215.5</v>
      </c>
      <c r="AA217" s="125">
        <f>IF((Valores!$C$28)*B217&gt;Valores!$F$28,Valores!$F$28,(Valores!$C$28)*B217)</f>
        <v>1755.54</v>
      </c>
      <c r="AB217" s="214">
        <v>0</v>
      </c>
      <c r="AC217" s="125">
        <f t="shared" si="34"/>
        <v>0</v>
      </c>
      <c r="AD217" s="125">
        <f>IF(Valores!$C$29*B217&gt;Valores!$F$29,Valores!$F$29,Valores!$C$29*B217)</f>
        <v>1461.78</v>
      </c>
      <c r="AE217" s="192">
        <v>0</v>
      </c>
      <c r="AF217" s="125">
        <f>ROUND(AE217*Valores!$C$2,2)</f>
        <v>0</v>
      </c>
      <c r="AG217" s="125">
        <f>IF($F$4="NO",IF(Valores!$D$64*'Escala Docente'!B217&gt;Valores!$F$64,Valores!$F$64,Valores!$D$64*'Escala Docente'!B217),IF(Valores!$D$64*'Escala Docente'!B217&gt;Valores!$F$64,Valores!$F$64,Valores!$D$64*'Escala Docente'!B217)/2)+0.06</f>
        <v>33385.29</v>
      </c>
      <c r="AH217" s="125">
        <f>SUM(F217,H217,J217,L217,M217,N217,O217,P217,Q217,R217,T217,U217,V217,X217,Y217,Z217,AA217,AC217,AD217,AF217,AG217)*Valores!$C$104</f>
        <v>54951.353000000003</v>
      </c>
      <c r="AI217" s="125">
        <f t="shared" si="37"/>
        <v>604464.88300000003</v>
      </c>
      <c r="AJ217" s="125">
        <f>IF(Valores!$C$33*B217&gt;Valores!$F$33,Valores!$F$33,Valores!$C$33*B217)</f>
        <v>62999.999999999905</v>
      </c>
      <c r="AK217" s="125">
        <v>0</v>
      </c>
      <c r="AL217" s="125">
        <f>IF(Valores!$C$92*B217&gt;Valores!$C$91,Valores!$C$91,Valores!$C$92*B217)</f>
        <v>0</v>
      </c>
      <c r="AM217" s="125">
        <f>IF(Valores!C$40*B217&gt;Valores!F$39,Valores!F$39,Valores!C$40*B217)</f>
        <v>0</v>
      </c>
      <c r="AN217" s="125">
        <f>IF($F$3="NO",0,IF(Valores!$C$62*B217&gt;Valores!$F$62,Valores!$F$62,Valores!$C$62*B217))</f>
        <v>0</v>
      </c>
      <c r="AO217" s="125">
        <f t="shared" si="35"/>
        <v>62999.999999999905</v>
      </c>
      <c r="AP217" s="125">
        <f>AI217*Valores!$C$72</f>
        <v>-66491.137130000003</v>
      </c>
      <c r="AQ217" s="125">
        <f>IF(AI217&lt;Valores!$E$73,-0.02,IF(AI217&lt;Valores!$F$73,-0.03,-0.04))*AI217</f>
        <v>-12089.29766</v>
      </c>
      <c r="AR217" s="125">
        <f>AI217*Valores!$C$75</f>
        <v>-33245.568565000001</v>
      </c>
      <c r="AS217" s="125">
        <f>Valores!$C$102</f>
        <v>-1270.1600000000001</v>
      </c>
      <c r="AT217" s="125">
        <f>IF($F$5=0,Valores!$C$103,(Valores!$C$103+$F$5*(Valores!$C$103)))</f>
        <v>-3700</v>
      </c>
      <c r="AU217" s="125">
        <f t="shared" si="38"/>
        <v>550668.71964499995</v>
      </c>
      <c r="AV217" s="125">
        <f t="shared" si="32"/>
        <v>-66491.137130000003</v>
      </c>
      <c r="AW217" s="125">
        <f t="shared" si="39"/>
        <v>-12089.29766</v>
      </c>
      <c r="AX217" s="125">
        <f>AI217*Valores!$C$76</f>
        <v>-16320.551841</v>
      </c>
      <c r="AY217" s="125">
        <f>AI217*Valores!$C$77</f>
        <v>-1813.3946490000001</v>
      </c>
      <c r="AZ217" s="125">
        <f t="shared" si="36"/>
        <v>570750.50171999994</v>
      </c>
      <c r="BA217" s="125">
        <f>AI217*Valores!$C$79</f>
        <v>96714.381280000001</v>
      </c>
      <c r="BB217" s="125">
        <f>AI217*Valores!$C$80</f>
        <v>42312.54181000001</v>
      </c>
      <c r="BC217" s="125">
        <f>AI217*Valores!$C$81</f>
        <v>6044.6488300000001</v>
      </c>
      <c r="BD217" s="125">
        <f>AI217*Valores!$C$83</f>
        <v>21156.270905000005</v>
      </c>
      <c r="BE217" s="125">
        <f>AI217*Valores!$C$85</f>
        <v>32641.103682000001</v>
      </c>
      <c r="BF217" s="125">
        <f>AI217*Valores!$C$84</f>
        <v>3626.7892980000001</v>
      </c>
      <c r="BG217" s="126"/>
      <c r="BH217" s="126">
        <f t="shared" si="31"/>
        <v>27</v>
      </c>
      <c r="BI217" s="123" t="s">
        <v>8</v>
      </c>
    </row>
    <row r="218" spans="1:61" s="110" customFormat="1" ht="11.25" customHeight="1" x14ac:dyDescent="0.15">
      <c r="A218" s="123" t="s">
        <v>465</v>
      </c>
      <c r="B218" s="123">
        <v>28</v>
      </c>
      <c r="C218" s="126">
        <v>211</v>
      </c>
      <c r="D218" s="124" t="str">
        <f t="shared" si="29"/>
        <v>Hora Cátedra Enseñanza Superior 28 hs</v>
      </c>
      <c r="E218" s="192">
        <f t="shared" si="30"/>
        <v>2772</v>
      </c>
      <c r="F218" s="125">
        <f>ROUND(E218*Valores!$C$2,2)</f>
        <v>215098.05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69270.13</v>
      </c>
      <c r="N218" s="125">
        <f t="shared" si="33"/>
        <v>0</v>
      </c>
      <c r="O218" s="125">
        <f>Valores!$C$7*B218</f>
        <v>73678.36</v>
      </c>
      <c r="P218" s="125">
        <f>ROUND(IF(B218&lt;15,(Valores!$E$5*B218),Valores!$D$5),2)</f>
        <v>39667.43</v>
      </c>
      <c r="Q218" s="125">
        <v>0</v>
      </c>
      <c r="R218" s="125">
        <f>IF($F$4="NO",IF(Valores!$C$50*B218&gt;Valores!$F$47,Valores!$F$47,Valores!$C$50*B218),IF(Valores!$C$50*B218&gt;Valores!$F$47,Valores!$F$47,Valores!$C$50*B218)/2)</f>
        <v>38809.68</v>
      </c>
      <c r="S218" s="125">
        <f>Valores!$C$18*B218</f>
        <v>23172.799999999999</v>
      </c>
      <c r="T218" s="125">
        <f t="shared" si="40"/>
        <v>23172.799999999999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IF(Valores!$C$99*B218&gt;Valores!$C$98,Valores!$C$98,Valores!$C$99*B218)</f>
        <v>70742</v>
      </c>
      <c r="AA218" s="125">
        <f>IF((Valores!$C$28)*B218&gt;Valores!$F$28,Valores!$F$28,(Valores!$C$28)*B218)</f>
        <v>1820.56</v>
      </c>
      <c r="AB218" s="214">
        <v>0</v>
      </c>
      <c r="AC218" s="125">
        <f t="shared" si="34"/>
        <v>0</v>
      </c>
      <c r="AD218" s="125">
        <f>IF(Valores!$C$29*B218&gt;Valores!$F$29,Valores!$F$29,Valores!$C$29*B218)</f>
        <v>1515.92</v>
      </c>
      <c r="AE218" s="192">
        <v>0</v>
      </c>
      <c r="AF218" s="125">
        <f>ROUND(AE218*Valores!$C$2,2)</f>
        <v>0</v>
      </c>
      <c r="AG218" s="125">
        <f>IF($F$4="NO",IF(Valores!$D$64*'Escala Docente'!B218&gt;Valores!$F$64,Valores!$F$64,Valores!$D$64*'Escala Docente'!B218),IF(Valores!$D$64*'Escala Docente'!B218&gt;Valores!$F$64,Valores!$F$64,Valores!$D$64*'Escala Docente'!B218)/2)+0.06</f>
        <v>34621.78</v>
      </c>
      <c r="AH218" s="125">
        <f>SUM(F218,H218,J218,L218,M218,N218,O218,P218,Q218,R218,T218,U218,V218,X218,Y218,Z218,AA218,AC218,AD218,AF218,AG218)*Valores!$C$104</f>
        <v>56839.671000000009</v>
      </c>
      <c r="AI218" s="125">
        <f t="shared" si="37"/>
        <v>625236.38100000005</v>
      </c>
      <c r="AJ218" s="125">
        <f>IF(Valores!$C$33*B218&gt;Valores!$F$33,Valores!$F$33,Valores!$C$33*B218)</f>
        <v>65333.333333333234</v>
      </c>
      <c r="AK218" s="125">
        <v>0</v>
      </c>
      <c r="AL218" s="125">
        <f>IF(Valores!$C$92*B218&gt;Valores!$C$91,Valores!$C$91,Valores!$C$92*B218)</f>
        <v>0</v>
      </c>
      <c r="AM218" s="125">
        <f>IF(Valores!C$40*B218&gt;Valores!F$39,Valores!F$39,Valores!C$40*B218)</f>
        <v>0</v>
      </c>
      <c r="AN218" s="125">
        <f>IF($F$3="NO",0,IF(Valores!$C$62*B218&gt;Valores!$F$62,Valores!$F$62,Valores!$C$62*B218))</f>
        <v>0</v>
      </c>
      <c r="AO218" s="125">
        <f t="shared" si="35"/>
        <v>65333.333333333234</v>
      </c>
      <c r="AP218" s="125">
        <f>AI218*Valores!$C$72</f>
        <v>-68776.001910000006</v>
      </c>
      <c r="AQ218" s="125">
        <f>IF(AI218&lt;Valores!$E$73,-0.02,IF(AI218&lt;Valores!$F$73,-0.03,-0.04))*AI218</f>
        <v>-12504.727620000001</v>
      </c>
      <c r="AR218" s="125">
        <f>AI218*Valores!$C$75</f>
        <v>-34388.000955000003</v>
      </c>
      <c r="AS218" s="125">
        <f>Valores!$C$102</f>
        <v>-1270.1600000000001</v>
      </c>
      <c r="AT218" s="125">
        <f>IF($F$5=0,Valores!$C$103,(Valores!$C$103+$F$5*(Valores!$C$103)))</f>
        <v>-3700</v>
      </c>
      <c r="AU218" s="125">
        <f t="shared" si="38"/>
        <v>569930.82384833321</v>
      </c>
      <c r="AV218" s="125">
        <f t="shared" si="32"/>
        <v>-68776.001910000006</v>
      </c>
      <c r="AW218" s="125">
        <f t="shared" si="39"/>
        <v>-12504.727620000001</v>
      </c>
      <c r="AX218" s="125">
        <f>AI218*Valores!$C$76</f>
        <v>-16881.382287</v>
      </c>
      <c r="AY218" s="125">
        <f>AI218*Valores!$C$77</f>
        <v>-1875.7091430000003</v>
      </c>
      <c r="AZ218" s="125">
        <f t="shared" si="36"/>
        <v>590531.89337333327</v>
      </c>
      <c r="BA218" s="125">
        <f>AI218*Valores!$C$79</f>
        <v>100037.82096000001</v>
      </c>
      <c r="BB218" s="125">
        <f>AI218*Valores!$C$80</f>
        <v>43766.546670000011</v>
      </c>
      <c r="BC218" s="125">
        <f>AI218*Valores!$C$81</f>
        <v>6252.3638100000007</v>
      </c>
      <c r="BD218" s="125">
        <f>AI218*Valores!$C$83</f>
        <v>21883.273335000005</v>
      </c>
      <c r="BE218" s="125">
        <f>AI218*Valores!$C$85</f>
        <v>33762.764574000001</v>
      </c>
      <c r="BF218" s="125">
        <f>AI218*Valores!$C$84</f>
        <v>3751.4182860000005</v>
      </c>
      <c r="BG218" s="126"/>
      <c r="BH218" s="126">
        <f t="shared" si="31"/>
        <v>28</v>
      </c>
      <c r="BI218" s="123" t="s">
        <v>8</v>
      </c>
    </row>
    <row r="219" spans="1:61" s="110" customFormat="1" ht="11.25" customHeight="1" x14ac:dyDescent="0.15">
      <c r="A219" s="123" t="s">
        <v>465</v>
      </c>
      <c r="B219" s="123">
        <v>29</v>
      </c>
      <c r="C219" s="126">
        <v>212</v>
      </c>
      <c r="D219" s="124" t="str">
        <f t="shared" si="29"/>
        <v>Hora Cátedra Enseñanza Superior 29 hs</v>
      </c>
      <c r="E219" s="192">
        <f t="shared" si="30"/>
        <v>2871</v>
      </c>
      <c r="F219" s="125">
        <f>ROUND(E219*Valores!$C$2,2)</f>
        <v>222780.13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71744.070000000007</v>
      </c>
      <c r="N219" s="125">
        <f t="shared" si="33"/>
        <v>0</v>
      </c>
      <c r="O219" s="125">
        <f>Valores!$C$7*B219</f>
        <v>76309.73</v>
      </c>
      <c r="P219" s="125">
        <f>ROUND(IF(B219&lt;15,(Valores!$E$5*B219),Valores!$D$5),2)</f>
        <v>39667.43</v>
      </c>
      <c r="Q219" s="125">
        <v>0</v>
      </c>
      <c r="R219" s="125">
        <f>IF($F$4="NO",IF(Valores!$C$50*B219&gt;Valores!$F$47,Valores!$F$47,Valores!$C$50*B219),IF(Valores!$C$50*B219&gt;Valores!$F$47,Valores!$F$47,Valores!$C$50*B219)/2)</f>
        <v>40195.74</v>
      </c>
      <c r="S219" s="125">
        <f>Valores!$C$18*B219</f>
        <v>24000.400000000001</v>
      </c>
      <c r="T219" s="125">
        <f t="shared" si="40"/>
        <v>24000.400000000001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IF(Valores!$C$99*B219&gt;Valores!$C$98,Valores!$C$98,Valores!$C$99*B219)</f>
        <v>73268.5</v>
      </c>
      <c r="AA219" s="125">
        <f>IF((Valores!$C$28)*B219&gt;Valores!$F$28,Valores!$F$28,(Valores!$C$28)*B219)</f>
        <v>1885.58</v>
      </c>
      <c r="AB219" s="214">
        <v>0</v>
      </c>
      <c r="AC219" s="125">
        <f t="shared" si="34"/>
        <v>0</v>
      </c>
      <c r="AD219" s="125">
        <f>IF(Valores!$C$29*B219&gt;Valores!$F$29,Valores!$F$29,Valores!$C$29*B219)</f>
        <v>1570.06</v>
      </c>
      <c r="AE219" s="192">
        <v>0</v>
      </c>
      <c r="AF219" s="125">
        <f>ROUND(AE219*Valores!$C$2,2)</f>
        <v>0</v>
      </c>
      <c r="AG219" s="125">
        <f>IF($F$4="NO",IF(Valores!$D$64*'Escala Docente'!B219&gt;Valores!$F$64,Valores!$F$64,Valores!$D$64*'Escala Docente'!B219),IF(Valores!$D$64*'Escala Docente'!B219&gt;Valores!$F$64,Valores!$F$64,Valores!$D$64*'Escala Docente'!B219)/2)+0.06</f>
        <v>35858.269999999997</v>
      </c>
      <c r="AH219" s="125">
        <f>SUM(F219,H219,J219,L219,M219,N219,O219,P219,Q219,R219,T219,U219,V219,X219,Y219,Z219,AA219,AC219,AD219,AF219,AG219)*Valores!$C$104</f>
        <v>58727.991000000009</v>
      </c>
      <c r="AI219" s="125">
        <f t="shared" si="37"/>
        <v>646007.90100000007</v>
      </c>
      <c r="AJ219" s="125">
        <f>IF(Valores!$C$33*B219&gt;Valores!$F$33,Valores!$F$33,Valores!$C$33*B219)</f>
        <v>67666.66666666657</v>
      </c>
      <c r="AK219" s="125">
        <v>0</v>
      </c>
      <c r="AL219" s="125">
        <f>IF(Valores!$C$92*B219&gt;Valores!$C$91,Valores!$C$91,Valores!$C$92*B219)</f>
        <v>0</v>
      </c>
      <c r="AM219" s="125">
        <f>IF(Valores!C$40*B219&gt;Valores!F$39,Valores!F$39,Valores!C$40*B219)</f>
        <v>0</v>
      </c>
      <c r="AN219" s="125">
        <f>IF($F$3="NO",0,IF(Valores!$C$62*B219&gt;Valores!$F$62,Valores!$F$62,Valores!$C$62*B219))</f>
        <v>0</v>
      </c>
      <c r="AO219" s="125">
        <f t="shared" si="35"/>
        <v>67666.66666666657</v>
      </c>
      <c r="AP219" s="125">
        <f>AI219*Valores!$C$72</f>
        <v>-71060.869110000014</v>
      </c>
      <c r="AQ219" s="125">
        <f>IF(AI219&lt;Valores!$E$73,-0.02,IF(AI219&lt;Valores!$F$73,-0.03,-0.04))*AI219</f>
        <v>-12920.158020000003</v>
      </c>
      <c r="AR219" s="125">
        <f>AI219*Valores!$C$75</f>
        <v>-35530.434555000007</v>
      </c>
      <c r="AS219" s="125">
        <f>Valores!$C$102</f>
        <v>-1270.1600000000001</v>
      </c>
      <c r="AT219" s="125">
        <f>IF($F$5=0,Valores!$C$103,(Valores!$C$103+$F$5*(Valores!$C$103)))</f>
        <v>-3700</v>
      </c>
      <c r="AU219" s="125">
        <f t="shared" si="38"/>
        <v>589192.94598166656</v>
      </c>
      <c r="AV219" s="125">
        <f t="shared" si="32"/>
        <v>-71060.869110000014</v>
      </c>
      <c r="AW219" s="125">
        <f t="shared" si="39"/>
        <v>-12920.158020000003</v>
      </c>
      <c r="AX219" s="125">
        <f>AI219*Valores!$C$76</f>
        <v>-17442.213327000001</v>
      </c>
      <c r="AY219" s="125">
        <f>AI219*Valores!$C$77</f>
        <v>-1938.0237030000003</v>
      </c>
      <c r="AZ219" s="125">
        <f t="shared" si="36"/>
        <v>610313.30350666656</v>
      </c>
      <c r="BA219" s="125">
        <f>AI219*Valores!$C$79</f>
        <v>103361.26416000002</v>
      </c>
      <c r="BB219" s="125">
        <f>AI219*Valores!$C$80</f>
        <v>45220.553070000009</v>
      </c>
      <c r="BC219" s="125">
        <f>AI219*Valores!$C$81</f>
        <v>6460.0790100000013</v>
      </c>
      <c r="BD219" s="125">
        <f>AI219*Valores!$C$83</f>
        <v>22610.276535000005</v>
      </c>
      <c r="BE219" s="125">
        <f>AI219*Valores!$C$85</f>
        <v>34884.426654000003</v>
      </c>
      <c r="BF219" s="125">
        <f>AI219*Valores!$C$84</f>
        <v>3876.0474060000006</v>
      </c>
      <c r="BG219" s="126"/>
      <c r="BH219" s="126">
        <f t="shared" si="31"/>
        <v>29</v>
      </c>
      <c r="BI219" s="123" t="s">
        <v>8</v>
      </c>
    </row>
    <row r="220" spans="1:61" s="110" customFormat="1" ht="11.25" customHeight="1" x14ac:dyDescent="0.15">
      <c r="A220" s="123" t="s">
        <v>465</v>
      </c>
      <c r="B220" s="123">
        <v>30</v>
      </c>
      <c r="C220" s="126">
        <v>213</v>
      </c>
      <c r="D220" s="124" t="str">
        <f t="shared" si="29"/>
        <v>Hora Cátedra Enseñanza Superior 30 hs</v>
      </c>
      <c r="E220" s="192">
        <f t="shared" si="30"/>
        <v>2970</v>
      </c>
      <c r="F220" s="125">
        <f>ROUND(E220*Valores!$C$2,2)</f>
        <v>230462.2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74218</v>
      </c>
      <c r="N220" s="125">
        <f t="shared" si="33"/>
        <v>0</v>
      </c>
      <c r="O220" s="125">
        <f>Valores!$C$7*B220</f>
        <v>78941.099999999991</v>
      </c>
      <c r="P220" s="125">
        <f>ROUND(IF(B220&lt;15,(Valores!$E$5*B220),Valores!$D$5),2)</f>
        <v>39667.43</v>
      </c>
      <c r="Q220" s="125">
        <v>0</v>
      </c>
      <c r="R220" s="125">
        <f>IF($F$4="NO",IF(Valores!$C$50*B220&gt;Valores!$F$47,Valores!$F$47,Valores!$C$50*B220),IF(Valores!$C$50*B220&gt;Valores!$F$47,Valores!$F$47,Valores!$C$50*B220)/2)</f>
        <v>41581.799999999996</v>
      </c>
      <c r="S220" s="125">
        <f>Valores!$C$18*B220</f>
        <v>24828</v>
      </c>
      <c r="T220" s="125">
        <f t="shared" si="40"/>
        <v>24828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IF(Valores!$C$99*B220&gt;Valores!$C$98,Valores!$C$98,Valores!$C$99*B220)</f>
        <v>75795</v>
      </c>
      <c r="AA220" s="125">
        <f>IF((Valores!$C$28)*B220&gt;Valores!$F$28,Valores!$F$28,(Valores!$C$28)*B220)</f>
        <v>1950.6</v>
      </c>
      <c r="AB220" s="214">
        <v>0</v>
      </c>
      <c r="AC220" s="125">
        <f t="shared" si="34"/>
        <v>0</v>
      </c>
      <c r="AD220" s="125">
        <f>IF(Valores!$C$29*B220&gt;Valores!$F$29,Valores!$F$29,Valores!$C$29*B220)</f>
        <v>1622.32</v>
      </c>
      <c r="AE220" s="192">
        <v>0</v>
      </c>
      <c r="AF220" s="125">
        <f>ROUND(AE220*Valores!$C$2,2)</f>
        <v>0</v>
      </c>
      <c r="AG220" s="125">
        <f>IF($F$4="NO",IF(Valores!$D$64*'Escala Docente'!B220&gt;Valores!$F$64,Valores!$F$64,Valores!$D$64*'Escala Docente'!B220),IF(Valores!$D$64*'Escala Docente'!B220&gt;Valores!$F$64,Valores!$F$64,Valores!$D$64*'Escala Docente'!B220)/2)+0.06</f>
        <v>37094.68</v>
      </c>
      <c r="AH220" s="125">
        <f>SUM(F220,H220,J220,L220,M220,N220,O220,P220,Q220,R220,T220,U220,V220,X220,Y220,Z220,AA220,AC220,AD220,AF220,AG220)*Valores!$C$104</f>
        <v>60616.113000000005</v>
      </c>
      <c r="AI220" s="125">
        <f t="shared" si="37"/>
        <v>666777.24300000002</v>
      </c>
      <c r="AJ220" s="125">
        <f>IF(Valores!$C$33*B220&gt;Valores!$F$33,Valores!$F$33,Valores!$C$33*B220)</f>
        <v>69999.999999999898</v>
      </c>
      <c r="AK220" s="125">
        <v>0</v>
      </c>
      <c r="AL220" s="125">
        <f>IF(Valores!$C$92*B220&gt;Valores!$C$91,Valores!$C$91,Valores!$C$92*B220)</f>
        <v>0</v>
      </c>
      <c r="AM220" s="125">
        <f>IF(Valores!C$40*B220&gt;Valores!F$39,Valores!F$39,Valores!C$40*B220)</f>
        <v>0</v>
      </c>
      <c r="AN220" s="125">
        <f>IF($F$3="NO",0,IF(Valores!$C$62*B220&gt;Valores!$F$62,Valores!$F$62,Valores!$C$62*B220))</f>
        <v>0</v>
      </c>
      <c r="AO220" s="125">
        <f t="shared" si="35"/>
        <v>69999.999999999898</v>
      </c>
      <c r="AP220" s="125">
        <f>AI220*Valores!$C$72</f>
        <v>-73345.496729999999</v>
      </c>
      <c r="AQ220" s="125">
        <f>IF(AI220&lt;Valores!$E$73,-0.02,IF(AI220&lt;Valores!$F$73,-0.03,-0.04))*AI220</f>
        <v>-13335.54486</v>
      </c>
      <c r="AR220" s="125">
        <f>AI220*Valores!$C$75</f>
        <v>-36672.748364999999</v>
      </c>
      <c r="AS220" s="125">
        <f>Valores!$C$102</f>
        <v>-1270.1600000000001</v>
      </c>
      <c r="AT220" s="125">
        <f>IF($F$5=0,Valores!$C$103,(Valores!$C$103+$F$5*(Valores!$C$103)))</f>
        <v>-3700</v>
      </c>
      <c r="AU220" s="125">
        <f t="shared" si="38"/>
        <v>608453.29304499994</v>
      </c>
      <c r="AV220" s="125">
        <f t="shared" si="32"/>
        <v>-73345.496729999999</v>
      </c>
      <c r="AW220" s="125">
        <f t="shared" si="39"/>
        <v>-13335.54486</v>
      </c>
      <c r="AX220" s="125">
        <f>AI220*Valores!$C$76</f>
        <v>-18002.985561000001</v>
      </c>
      <c r="AY220" s="125">
        <f>AI220*Valores!$C$77</f>
        <v>-2000.331729</v>
      </c>
      <c r="AZ220" s="125">
        <f t="shared" si="36"/>
        <v>630092.88411999994</v>
      </c>
      <c r="BA220" s="125">
        <f>AI220*Valores!$C$79</f>
        <v>106684.35888</v>
      </c>
      <c r="BB220" s="125">
        <f>AI220*Valores!$C$80</f>
        <v>46674.407010000003</v>
      </c>
      <c r="BC220" s="125">
        <f>AI220*Valores!$C$81</f>
        <v>6667.77243</v>
      </c>
      <c r="BD220" s="125">
        <f>AI220*Valores!$C$83</f>
        <v>23337.203505000001</v>
      </c>
      <c r="BE220" s="125">
        <f>AI220*Valores!$C$85</f>
        <v>36005.971122000003</v>
      </c>
      <c r="BF220" s="125">
        <f>AI220*Valores!$C$84</f>
        <v>4000.663458</v>
      </c>
      <c r="BG220" s="126"/>
      <c r="BH220" s="126">
        <f t="shared" si="31"/>
        <v>30</v>
      </c>
      <c r="BI220" s="123" t="s">
        <v>4</v>
      </c>
    </row>
    <row r="221" spans="1:61" s="110" customFormat="1" ht="11.25" customHeight="1" x14ac:dyDescent="0.15">
      <c r="A221" s="123" t="s">
        <v>465</v>
      </c>
      <c r="B221" s="123">
        <v>31</v>
      </c>
      <c r="C221" s="126">
        <v>214</v>
      </c>
      <c r="D221" s="124" t="str">
        <f t="shared" si="29"/>
        <v>Hora Cátedra Enseñanza Superior 31 hs</v>
      </c>
      <c r="E221" s="192">
        <f t="shared" si="30"/>
        <v>3069</v>
      </c>
      <c r="F221" s="125">
        <f>ROUND(E221*Valores!$C$2,2)</f>
        <v>238144.27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76691.929999999993</v>
      </c>
      <c r="N221" s="125">
        <f t="shared" si="33"/>
        <v>0</v>
      </c>
      <c r="O221" s="125">
        <f>Valores!$C$7*B221</f>
        <v>81572.47</v>
      </c>
      <c r="P221" s="125">
        <f>ROUND(IF(B221&lt;15,(Valores!$E$5*B221),Valores!$D$5),2)</f>
        <v>39667.43</v>
      </c>
      <c r="Q221" s="125">
        <v>0</v>
      </c>
      <c r="R221" s="125">
        <f>IF($F$4="NO",IF(Valores!$C$50*B221&gt;Valores!$F$47,Valores!$F$47,Valores!$C$50*B221),IF(Valores!$C$50*B221&gt;Valores!$F$47,Valores!$F$47,Valores!$C$50*B221)/2)</f>
        <v>42967.86</v>
      </c>
      <c r="S221" s="125">
        <f>Valores!$C$18*B221</f>
        <v>25655.600000000002</v>
      </c>
      <c r="T221" s="125">
        <f t="shared" si="40"/>
        <v>25655.599999999999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IF(Valores!$C$99*B221&gt;Valores!$C$98,Valores!$C$98,Valores!$C$99*B221)</f>
        <v>78321.5</v>
      </c>
      <c r="AA221" s="125">
        <f>IF((Valores!$C$28)*B221&gt;Valores!$F$28,Valores!$F$28,(Valores!$C$28)*B221)</f>
        <v>2015.62</v>
      </c>
      <c r="AB221" s="214">
        <v>0</v>
      </c>
      <c r="AC221" s="125">
        <f t="shared" si="34"/>
        <v>0</v>
      </c>
      <c r="AD221" s="125">
        <f>IF(Valores!$C$29*B221&gt;Valores!$F$29,Valores!$F$29,Valores!$C$29*B221)</f>
        <v>1622.32</v>
      </c>
      <c r="AE221" s="192">
        <v>0</v>
      </c>
      <c r="AF221" s="125">
        <f>ROUND(AE221*Valores!$C$2,2)</f>
        <v>0</v>
      </c>
      <c r="AG221" s="125">
        <f>IF($F$4="NO",IF(Valores!$D$64*'Escala Docente'!B221&gt;Valores!$F$64,Valores!$F$64,Valores!$D$64*'Escala Docente'!B221),IF(Valores!$D$64*'Escala Docente'!B221&gt;Valores!$F$64,Valores!$F$64,Valores!$D$64*'Escala Docente'!B221)/2)</f>
        <v>37094.620000000003</v>
      </c>
      <c r="AH221" s="125">
        <f>SUM(F221,H221,J221,L221,M221,N221,O221,P221,Q221,R221,T221,U221,V221,X221,Y221,Z221,AA221,AC221,AD221,AF221,AG221)*Valores!$C$104</f>
        <v>62375.361999999979</v>
      </c>
      <c r="AI221" s="125">
        <f t="shared" si="37"/>
        <v>686128.98199999973</v>
      </c>
      <c r="AJ221" s="125">
        <f>IF(Valores!$C$33*B221&gt;Valores!$F$33,Valores!$F$33,Valores!$C$33*B221)</f>
        <v>70000</v>
      </c>
      <c r="AK221" s="125">
        <v>0</v>
      </c>
      <c r="AL221" s="125">
        <f>IF(Valores!$C$92*B221&gt;Valores!$C$91,Valores!$C$91,Valores!$C$92*B221)</f>
        <v>0</v>
      </c>
      <c r="AM221" s="125">
        <f>IF(Valores!C$40*B221&gt;Valores!F$39,Valores!F$39,Valores!C$40*B221)</f>
        <v>0</v>
      </c>
      <c r="AN221" s="125">
        <f>IF($F$3="NO",0,IF(Valores!$C$62*B221&gt;Valores!$F$62,Valores!$F$62,Valores!$C$62*B221))</f>
        <v>0</v>
      </c>
      <c r="AO221" s="125">
        <f t="shared" si="35"/>
        <v>70000</v>
      </c>
      <c r="AP221" s="125">
        <f>AI221*Valores!$C$72</f>
        <v>-75474.188019999972</v>
      </c>
      <c r="AQ221" s="125">
        <f>IF(AI221&lt;Valores!$E$73,-0.02,IF(AI221&lt;Valores!$F$73,-0.03,-0.04))*AI221</f>
        <v>-13722.579639999994</v>
      </c>
      <c r="AR221" s="125">
        <f>AI221*Valores!$C$75</f>
        <v>-37737.094009999986</v>
      </c>
      <c r="AS221" s="125">
        <f>Valores!$C$102</f>
        <v>-1270.1600000000001</v>
      </c>
      <c r="AT221" s="125">
        <f>IF($F$5=0,Valores!$C$103,(Valores!$C$103+$F$5*(Valores!$C$103)))</f>
        <v>-3700</v>
      </c>
      <c r="AU221" s="125">
        <f t="shared" si="38"/>
        <v>624224.9603299998</v>
      </c>
      <c r="AV221" s="125">
        <f t="shared" si="32"/>
        <v>-75474.188019999972</v>
      </c>
      <c r="AW221" s="125">
        <f t="shared" si="39"/>
        <v>-13722.579639999994</v>
      </c>
      <c r="AX221" s="125">
        <f>AI221*Valores!$C$76</f>
        <v>-18525.482513999992</v>
      </c>
      <c r="AY221" s="125">
        <f>AI221*Valores!$C$77</f>
        <v>-2058.3869459999992</v>
      </c>
      <c r="AZ221" s="125">
        <f t="shared" si="36"/>
        <v>646348.34487999976</v>
      </c>
      <c r="BA221" s="125">
        <f>AI221*Valores!$C$79</f>
        <v>109780.63711999996</v>
      </c>
      <c r="BB221" s="125">
        <f>AI221*Valores!$C$80</f>
        <v>48029.028739999987</v>
      </c>
      <c r="BC221" s="125">
        <f>AI221*Valores!$C$81</f>
        <v>6861.2898199999972</v>
      </c>
      <c r="BD221" s="125">
        <f>AI221*Valores!$C$83</f>
        <v>24014.514369999994</v>
      </c>
      <c r="BE221" s="125">
        <f>AI221*Valores!$C$85</f>
        <v>37050.965027999984</v>
      </c>
      <c r="BF221" s="125">
        <f>AI221*Valores!$C$84</f>
        <v>4116.7738919999983</v>
      </c>
      <c r="BG221" s="126"/>
      <c r="BH221" s="126">
        <f t="shared" si="31"/>
        <v>31</v>
      </c>
      <c r="BI221" s="123" t="s">
        <v>8</v>
      </c>
    </row>
    <row r="222" spans="1:61" s="110" customFormat="1" ht="11.25" customHeight="1" x14ac:dyDescent="0.15">
      <c r="A222" s="123" t="s">
        <v>465</v>
      </c>
      <c r="B222" s="123">
        <v>32</v>
      </c>
      <c r="C222" s="126">
        <v>215</v>
      </c>
      <c r="D222" s="124" t="str">
        <f t="shared" si="29"/>
        <v>Hora Cátedra Enseñanza Superior 32 hs</v>
      </c>
      <c r="E222" s="192">
        <f t="shared" si="30"/>
        <v>3168</v>
      </c>
      <c r="F222" s="125">
        <f>ROUND(E222*Valores!$C$2,2)</f>
        <v>245826.35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79165.87</v>
      </c>
      <c r="N222" s="125">
        <f t="shared" si="33"/>
        <v>0</v>
      </c>
      <c r="O222" s="125">
        <f>Valores!$C$7*B222</f>
        <v>84203.839999999997</v>
      </c>
      <c r="P222" s="125">
        <f>ROUND(IF(B222&lt;15,(Valores!$E$5*B222),Valores!$D$5),2)</f>
        <v>39667.43</v>
      </c>
      <c r="Q222" s="125">
        <v>0</v>
      </c>
      <c r="R222" s="125">
        <f>IF($F$4="NO",IF(Valores!$C$50*B222&gt;Valores!$F$47,Valores!$F$47,Valores!$C$50*B222),IF(Valores!$C$50*B222&gt;Valores!$F$47,Valores!$F$47,Valores!$C$50*B222)/2)</f>
        <v>44353.919999999998</v>
      </c>
      <c r="S222" s="125">
        <f>Valores!$C$18*B222</f>
        <v>26483.200000000001</v>
      </c>
      <c r="T222" s="125">
        <f t="shared" si="40"/>
        <v>26483.200000000001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IF(Valores!$C$99*B222&gt;Valores!$C$98,Valores!$C$98,Valores!$C$99*B222)</f>
        <v>80848</v>
      </c>
      <c r="AA222" s="125">
        <f>IF((Valores!$C$28)*B222&gt;Valores!$F$28,Valores!$F$28,(Valores!$C$28)*B222)</f>
        <v>2080.64</v>
      </c>
      <c r="AB222" s="214">
        <v>0</v>
      </c>
      <c r="AC222" s="125">
        <f t="shared" si="34"/>
        <v>0</v>
      </c>
      <c r="AD222" s="125">
        <f>IF(Valores!$C$29*B222&gt;Valores!$F$29,Valores!$F$29,Valores!$C$29*B222)</f>
        <v>1622.32</v>
      </c>
      <c r="AE222" s="192">
        <v>0</v>
      </c>
      <c r="AF222" s="125">
        <f>ROUND(AE222*Valores!$C$2,2)</f>
        <v>0</v>
      </c>
      <c r="AG222" s="125">
        <f>IF($F$4="NO",IF(Valores!$D$64*'Escala Docente'!B222&gt;Valores!$F$64,Valores!$F$64,Valores!$D$64*'Escala Docente'!B222),IF(Valores!$D$64*'Escala Docente'!B222&gt;Valores!$F$64,Valores!$F$64,Valores!$D$64*'Escala Docente'!B222)/2)</f>
        <v>37094.620000000003</v>
      </c>
      <c r="AH222" s="125">
        <f>SUM(F222,H222,J222,L222,M222,N222,O222,P222,Q222,R222,T222,U222,V222,X222,Y222,Z222,AA222,AC222,AD222,AF222,AG222)*Valores!$C$104</f>
        <v>64134.618999999984</v>
      </c>
      <c r="AI222" s="125">
        <f t="shared" si="37"/>
        <v>705480.80899999978</v>
      </c>
      <c r="AJ222" s="125">
        <f>IF(Valores!$C$33*B222&gt;Valores!$F$33,Valores!$F$33,Valores!$C$33*B222)</f>
        <v>70000</v>
      </c>
      <c r="AK222" s="125">
        <v>0</v>
      </c>
      <c r="AL222" s="125">
        <f>IF(Valores!$C$92*B222&gt;Valores!$C$91,Valores!$C$91,Valores!$C$92*B222)</f>
        <v>0</v>
      </c>
      <c r="AM222" s="125">
        <f>IF(Valores!C$40*B222&gt;Valores!F$39,Valores!F$39,Valores!C$40*B222)</f>
        <v>0</v>
      </c>
      <c r="AN222" s="125">
        <f>IF($F$3="NO",0,IF(Valores!$C$62*B222&gt;Valores!$F$62,Valores!$F$62,Valores!$C$62*B222))</f>
        <v>0</v>
      </c>
      <c r="AO222" s="125">
        <f t="shared" si="35"/>
        <v>70000</v>
      </c>
      <c r="AP222" s="125">
        <f>AI222*Valores!$C$72</f>
        <v>-77602.888989999978</v>
      </c>
      <c r="AQ222" s="125">
        <f>IF(AI222&lt;Valores!$E$73,-0.02,IF(AI222&lt;Valores!$F$73,-0.03,-0.04))*AI222</f>
        <v>-14109.616179999995</v>
      </c>
      <c r="AR222" s="125">
        <f>AI222*Valores!$C$75</f>
        <v>-38801.444494999989</v>
      </c>
      <c r="AS222" s="125">
        <f>Valores!$C$102</f>
        <v>-1270.1600000000001</v>
      </c>
      <c r="AT222" s="125">
        <f>IF($F$5=0,Valores!$C$103,(Valores!$C$103+$F$5*(Valores!$C$103)))</f>
        <v>-3700</v>
      </c>
      <c r="AU222" s="125">
        <f t="shared" si="38"/>
        <v>639996.69933499978</v>
      </c>
      <c r="AV222" s="125">
        <f t="shared" si="32"/>
        <v>-77602.888989999978</v>
      </c>
      <c r="AW222" s="125">
        <f t="shared" si="39"/>
        <v>-14109.616179999995</v>
      </c>
      <c r="AX222" s="125">
        <f>AI222*Valores!$C$76</f>
        <v>-19047.981842999994</v>
      </c>
      <c r="AY222" s="125">
        <f>AI222*Valores!$C$77</f>
        <v>-2116.4424269999995</v>
      </c>
      <c r="AZ222" s="125">
        <f t="shared" si="36"/>
        <v>662603.8795599998</v>
      </c>
      <c r="BA222" s="125">
        <f>AI222*Valores!$C$79</f>
        <v>112876.92943999996</v>
      </c>
      <c r="BB222" s="125">
        <f>AI222*Valores!$C$80</f>
        <v>49383.65662999999</v>
      </c>
      <c r="BC222" s="125">
        <f>AI222*Valores!$C$81</f>
        <v>7054.8080899999977</v>
      </c>
      <c r="BD222" s="125">
        <f>AI222*Valores!$C$83</f>
        <v>24691.828314999995</v>
      </c>
      <c r="BE222" s="125">
        <f>AI222*Valores!$C$85</f>
        <v>38095.963685999988</v>
      </c>
      <c r="BF222" s="125">
        <f>AI222*Valores!$C$84</f>
        <v>4232.884853999999</v>
      </c>
      <c r="BG222" s="126"/>
      <c r="BH222" s="126">
        <f t="shared" si="31"/>
        <v>32</v>
      </c>
      <c r="BI222" s="123" t="s">
        <v>8</v>
      </c>
    </row>
    <row r="223" spans="1:61" s="110" customFormat="1" ht="11.25" customHeight="1" x14ac:dyDescent="0.15">
      <c r="A223" s="123" t="s">
        <v>465</v>
      </c>
      <c r="B223" s="123">
        <v>33</v>
      </c>
      <c r="C223" s="126">
        <v>216</v>
      </c>
      <c r="D223" s="124" t="str">
        <f t="shared" si="29"/>
        <v>Hora Cátedra Enseñanza Superior 33 hs</v>
      </c>
      <c r="E223" s="192">
        <f t="shared" si="30"/>
        <v>3267</v>
      </c>
      <c r="F223" s="125">
        <f>ROUND(E223*Valores!$C$2,2)</f>
        <v>253508.42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81639.8</v>
      </c>
      <c r="N223" s="125">
        <f t="shared" si="33"/>
        <v>0</v>
      </c>
      <c r="O223" s="125">
        <f>Valores!$C$7*B223</f>
        <v>86835.209999999992</v>
      </c>
      <c r="P223" s="125">
        <f>ROUND(IF(B223&lt;15,(Valores!$E$5*B223),Valores!$D$5),2)</f>
        <v>39667.43</v>
      </c>
      <c r="Q223" s="125">
        <v>0</v>
      </c>
      <c r="R223" s="125">
        <f>IF($F$4="NO",IF(Valores!$C$50*B223&gt;Valores!$F$47,Valores!$F$47,Valores!$C$50*B223),IF(Valores!$C$50*B223&gt;Valores!$F$47,Valores!$F$47,Valores!$C$50*B223)/2)</f>
        <v>45739.979999999996</v>
      </c>
      <c r="S223" s="125">
        <f>Valores!$C$18*B223</f>
        <v>27310.799999999999</v>
      </c>
      <c r="T223" s="125">
        <f t="shared" si="40"/>
        <v>27310.799999999999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IF(Valores!$C$99*B223&gt;Valores!$C$98,Valores!$C$98,Valores!$C$99*B223)</f>
        <v>83374.5</v>
      </c>
      <c r="AA223" s="125">
        <f>IF((Valores!$C$28)*B223&gt;Valores!$F$28,Valores!$F$28,(Valores!$C$28)*B223)</f>
        <v>2145.66</v>
      </c>
      <c r="AB223" s="214">
        <v>0</v>
      </c>
      <c r="AC223" s="125">
        <f t="shared" si="34"/>
        <v>0</v>
      </c>
      <c r="AD223" s="125">
        <f>IF(Valores!$C$29*B223&gt;Valores!$F$29,Valores!$F$29,Valores!$C$29*B223)</f>
        <v>1622.32</v>
      </c>
      <c r="AE223" s="192">
        <v>0</v>
      </c>
      <c r="AF223" s="125">
        <f>ROUND(AE223*Valores!$C$2,2)</f>
        <v>0</v>
      </c>
      <c r="AG223" s="125">
        <f>IF($F$4="NO",IF(Valores!$D$64*'Escala Docente'!B223&gt;Valores!$F$64,Valores!$F$64,Valores!$D$64*'Escala Docente'!B223),IF(Valores!$D$64*'Escala Docente'!B223&gt;Valores!$F$64,Valores!$F$64,Valores!$D$64*'Escala Docente'!B223)/2)</f>
        <v>37094.620000000003</v>
      </c>
      <c r="AH223" s="125">
        <f>SUM(F223,H223,J223,L223,M223,N223,O223,P223,Q223,R223,T223,U223,V223,X223,Y223,Z223,AA223,AC223,AD223,AF223,AG223)*Valores!$C$104</f>
        <v>65893.873999999996</v>
      </c>
      <c r="AI223" s="125">
        <f t="shared" si="37"/>
        <v>724832.61399999994</v>
      </c>
      <c r="AJ223" s="125">
        <f>IF(Valores!$C$33*B223&gt;Valores!$F$33,Valores!$F$33,Valores!$C$33*B223)</f>
        <v>70000</v>
      </c>
      <c r="AK223" s="125">
        <v>0</v>
      </c>
      <c r="AL223" s="125">
        <f>IF(Valores!$C$92*B223&gt;Valores!$C$91,Valores!$C$91,Valores!$C$92*B223)</f>
        <v>0</v>
      </c>
      <c r="AM223" s="125">
        <f>IF(Valores!C$40*B223&gt;Valores!F$39,Valores!F$39,Valores!C$40*B223)</f>
        <v>0</v>
      </c>
      <c r="AN223" s="125">
        <f>IF($F$3="NO",0,IF(Valores!$C$62*B223&gt;Valores!$F$62,Valores!$F$62,Valores!$C$62*B223))</f>
        <v>0</v>
      </c>
      <c r="AO223" s="125">
        <f t="shared" si="35"/>
        <v>70000</v>
      </c>
      <c r="AP223" s="125">
        <f>AI223*Valores!$C$72</f>
        <v>-79731.587539999993</v>
      </c>
      <c r="AQ223" s="125">
        <f>IF(AI223&lt;Valores!$E$73,-0.02,IF(AI223&lt;Valores!$F$73,-0.03,-0.04))*AI223</f>
        <v>-14496.652279999998</v>
      </c>
      <c r="AR223" s="125">
        <f>AI223*Valores!$C$75</f>
        <v>-39865.793769999997</v>
      </c>
      <c r="AS223" s="125">
        <f>Valores!$C$102</f>
        <v>-1270.1600000000001</v>
      </c>
      <c r="AT223" s="125">
        <f>IF($F$5=0,Valores!$C$103,(Valores!$C$103+$F$5*(Valores!$C$103)))</f>
        <v>-3700</v>
      </c>
      <c r="AU223" s="125">
        <f t="shared" si="38"/>
        <v>655768.4204099999</v>
      </c>
      <c r="AV223" s="125">
        <f t="shared" si="32"/>
        <v>-79731.587539999993</v>
      </c>
      <c r="AW223" s="125">
        <f t="shared" si="39"/>
        <v>-14496.652279999998</v>
      </c>
      <c r="AX223" s="125">
        <f>AI223*Valores!$C$76</f>
        <v>-19570.480577999999</v>
      </c>
      <c r="AY223" s="125">
        <f>AI223*Valores!$C$77</f>
        <v>-2174.4978419999998</v>
      </c>
      <c r="AZ223" s="125">
        <f t="shared" si="36"/>
        <v>678859.39575999998</v>
      </c>
      <c r="BA223" s="125">
        <f>AI223*Valores!$C$79</f>
        <v>115973.21823999999</v>
      </c>
      <c r="BB223" s="125">
        <f>AI223*Valores!$C$80</f>
        <v>50738.282980000004</v>
      </c>
      <c r="BC223" s="125">
        <f>AI223*Valores!$C$81</f>
        <v>7248.3261399999992</v>
      </c>
      <c r="BD223" s="125">
        <f>AI223*Valores!$C$83</f>
        <v>25369.141490000002</v>
      </c>
      <c r="BE223" s="125">
        <f>AI223*Valores!$C$85</f>
        <v>39140.961155999998</v>
      </c>
      <c r="BF223" s="125">
        <f>AI223*Valores!$C$84</f>
        <v>4348.9956839999995</v>
      </c>
      <c r="BG223" s="126"/>
      <c r="BH223" s="126">
        <f t="shared" ref="BH223:BH254" si="41">1*B223</f>
        <v>33</v>
      </c>
      <c r="BI223" s="123" t="s">
        <v>8</v>
      </c>
    </row>
    <row r="224" spans="1:61" s="110" customFormat="1" ht="11.25" customHeight="1" x14ac:dyDescent="0.15">
      <c r="A224" s="123" t="s">
        <v>465</v>
      </c>
      <c r="B224" s="123">
        <v>34</v>
      </c>
      <c r="C224" s="126">
        <v>217</v>
      </c>
      <c r="D224" s="124" t="str">
        <f t="shared" si="29"/>
        <v>Hora Cátedra Enseñanza Superior 34 hs</v>
      </c>
      <c r="E224" s="192">
        <f t="shared" si="30"/>
        <v>3366</v>
      </c>
      <c r="F224" s="125">
        <f>ROUND(E224*Valores!$C$2,2)</f>
        <v>261190.49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84113.73</v>
      </c>
      <c r="N224" s="125">
        <f t="shared" si="33"/>
        <v>0</v>
      </c>
      <c r="O224" s="125">
        <f>Valores!$C$7*B224</f>
        <v>89466.58</v>
      </c>
      <c r="P224" s="125">
        <f>ROUND(IF(B224&lt;15,(Valores!$E$5*B224),Valores!$D$5),2)</f>
        <v>39667.43</v>
      </c>
      <c r="Q224" s="125">
        <v>0</v>
      </c>
      <c r="R224" s="125">
        <f>IF($F$4="NO",IF(Valores!$C$50*B224&gt;Valores!$F$47,Valores!$F$47,Valores!$C$50*B224),IF(Valores!$C$50*B224&gt;Valores!$F$47,Valores!$F$47,Valores!$C$50*B224)/2)</f>
        <v>47126.04</v>
      </c>
      <c r="S224" s="125">
        <f>Valores!$C$18*B224</f>
        <v>28138.400000000001</v>
      </c>
      <c r="T224" s="125">
        <f t="shared" si="40"/>
        <v>28138.400000000001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IF(Valores!$C$99*B224&gt;Valores!$C$98,Valores!$C$98,Valores!$C$99*B224)</f>
        <v>85901</v>
      </c>
      <c r="AA224" s="125">
        <f>IF((Valores!$C$28)*B224&gt;Valores!$F$28,Valores!$F$28,(Valores!$C$28)*B224)</f>
        <v>2210.6799999999998</v>
      </c>
      <c r="AB224" s="214">
        <v>0</v>
      </c>
      <c r="AC224" s="125">
        <f t="shared" si="34"/>
        <v>0</v>
      </c>
      <c r="AD224" s="125">
        <f>IF(Valores!$C$29*B224&gt;Valores!$F$29,Valores!$F$29,Valores!$C$29*B224)</f>
        <v>1622.32</v>
      </c>
      <c r="AE224" s="192">
        <v>0</v>
      </c>
      <c r="AF224" s="125">
        <f>ROUND(AE224*Valores!$C$2,2)</f>
        <v>0</v>
      </c>
      <c r="AG224" s="125">
        <f>IF($F$4="NO",IF(Valores!$D$64*'Escala Docente'!B224&gt;Valores!$F$64,Valores!$F$64,Valores!$D$64*'Escala Docente'!B224),IF(Valores!$D$64*'Escala Docente'!B224&gt;Valores!$F$64,Valores!$F$64,Valores!$D$64*'Escala Docente'!B224)/2)</f>
        <v>37094.620000000003</v>
      </c>
      <c r="AH224" s="125">
        <f>SUM(F224,H224,J224,L224,M224,N224,O224,P224,Q224,R224,T224,U224,V224,X224,Y224,Z224,AA224,AC224,AD224,AF224,AG224)*Valores!$C$104</f>
        <v>67653.129000000001</v>
      </c>
      <c r="AI224" s="125">
        <f t="shared" si="37"/>
        <v>744184.41899999988</v>
      </c>
      <c r="AJ224" s="125">
        <f>IF(Valores!$C$33*B224&gt;Valores!$F$33,Valores!$F$33,Valores!$C$33*B224)</f>
        <v>70000</v>
      </c>
      <c r="AK224" s="125">
        <v>0</v>
      </c>
      <c r="AL224" s="125">
        <f>IF(Valores!$C$92*B224&gt;Valores!$C$91,Valores!$C$91,Valores!$C$92*B224)</f>
        <v>0</v>
      </c>
      <c r="AM224" s="125">
        <f>IF(Valores!C$40*B224&gt;Valores!F$39,Valores!F$39,Valores!C$40*B224)</f>
        <v>0</v>
      </c>
      <c r="AN224" s="125">
        <f>IF($F$3="NO",0,IF(Valores!$C$62*B224&gt;Valores!$F$62,Valores!$F$62,Valores!$C$62*B224))</f>
        <v>0</v>
      </c>
      <c r="AO224" s="125">
        <f t="shared" si="35"/>
        <v>70000</v>
      </c>
      <c r="AP224" s="125">
        <f>AI224*Valores!$C$72</f>
        <v>-81860.286089999994</v>
      </c>
      <c r="AQ224" s="125">
        <f>IF(AI224&lt;Valores!$E$73,-0.02,IF(AI224&lt;Valores!$F$73,-0.03,-0.04))*AI224</f>
        <v>-14883.688379999998</v>
      </c>
      <c r="AR224" s="125">
        <f>AI224*Valores!$C$75</f>
        <v>-40930.143044999997</v>
      </c>
      <c r="AS224" s="125">
        <f>Valores!$C$102</f>
        <v>-1270.1600000000001</v>
      </c>
      <c r="AT224" s="125">
        <f>IF($F$5=0,Valores!$C$103,(Valores!$C$103+$F$5*(Valores!$C$103)))</f>
        <v>-3700</v>
      </c>
      <c r="AU224" s="125">
        <f t="shared" si="38"/>
        <v>671540.14148499991</v>
      </c>
      <c r="AV224" s="125">
        <f t="shared" si="32"/>
        <v>-81860.286089999994</v>
      </c>
      <c r="AW224" s="125">
        <f t="shared" si="39"/>
        <v>-14883.688379999998</v>
      </c>
      <c r="AX224" s="125">
        <f>AI224*Valores!$C$76</f>
        <v>-20092.979312999996</v>
      </c>
      <c r="AY224" s="125">
        <f>AI224*Valores!$C$77</f>
        <v>-2232.5532569999996</v>
      </c>
      <c r="AZ224" s="125">
        <f t="shared" si="36"/>
        <v>695114.91195999994</v>
      </c>
      <c r="BA224" s="125">
        <f>AI224*Valores!$C$79</f>
        <v>119069.50703999998</v>
      </c>
      <c r="BB224" s="125">
        <f>AI224*Valores!$C$80</f>
        <v>52092.909329999995</v>
      </c>
      <c r="BC224" s="125">
        <f>AI224*Valores!$C$81</f>
        <v>7441.8441899999989</v>
      </c>
      <c r="BD224" s="125">
        <f>AI224*Valores!$C$83</f>
        <v>26046.454664999997</v>
      </c>
      <c r="BE224" s="125">
        <f>AI224*Valores!$C$85</f>
        <v>40185.958625999992</v>
      </c>
      <c r="BF224" s="125">
        <f>AI224*Valores!$C$84</f>
        <v>4465.1065139999992</v>
      </c>
      <c r="BG224" s="126"/>
      <c r="BH224" s="126">
        <f t="shared" si="41"/>
        <v>34</v>
      </c>
      <c r="BI224" s="123" t="s">
        <v>8</v>
      </c>
    </row>
    <row r="225" spans="1:61" s="110" customFormat="1" ht="11.25" customHeight="1" x14ac:dyDescent="0.15">
      <c r="A225" s="123" t="s">
        <v>465</v>
      </c>
      <c r="B225" s="123">
        <v>35</v>
      </c>
      <c r="C225" s="126">
        <v>218</v>
      </c>
      <c r="D225" s="124" t="str">
        <f t="shared" si="29"/>
        <v>Hora Cátedra Enseñanza Superior 35 hs</v>
      </c>
      <c r="E225" s="192">
        <f t="shared" si="30"/>
        <v>3465</v>
      </c>
      <c r="F225" s="125">
        <f>ROUND(E225*Valores!$C$2,2)</f>
        <v>268872.57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86502.1</v>
      </c>
      <c r="N225" s="125">
        <f t="shared" si="33"/>
        <v>0</v>
      </c>
      <c r="O225" s="125">
        <f>Valores!$C$7*B225</f>
        <v>92097.95</v>
      </c>
      <c r="P225" s="125">
        <f>ROUND(IF(B225&lt;15,(Valores!$E$5*B225),Valores!$D$5),2)</f>
        <v>39667.43</v>
      </c>
      <c r="Q225" s="125">
        <v>0</v>
      </c>
      <c r="R225" s="125">
        <f>IF($F$4="NO",IF(Valores!$C$50*B225&gt;Valores!$F$47,Valores!$F$47,Valores!$C$50*B225),IF(Valores!$C$50*B225&gt;Valores!$F$47,Valores!$F$47,Valores!$C$50*B225)/2)</f>
        <v>48169.84</v>
      </c>
      <c r="S225" s="125">
        <f>Valores!$C$18*B225</f>
        <v>28966</v>
      </c>
      <c r="T225" s="125">
        <f t="shared" si="40"/>
        <v>28966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IF(Valores!$C$99*B225&gt;Valores!$C$98,Valores!$C$98,Valores!$C$99*B225)</f>
        <v>88427.5</v>
      </c>
      <c r="AA225" s="125">
        <f>IF((Valores!$C$28)*B225&gt;Valores!$F$28,Valores!$F$28,(Valores!$C$28)*B225)</f>
        <v>2275.6999999999998</v>
      </c>
      <c r="AB225" s="214">
        <v>0</v>
      </c>
      <c r="AC225" s="125">
        <f t="shared" si="34"/>
        <v>0</v>
      </c>
      <c r="AD225" s="125">
        <f>IF(Valores!$C$29*B225&gt;Valores!$F$29,Valores!$F$29,Valores!$C$29*B225)</f>
        <v>1622.32</v>
      </c>
      <c r="AE225" s="192">
        <v>0</v>
      </c>
      <c r="AF225" s="125">
        <f>ROUND(AE225*Valores!$C$2,2)</f>
        <v>0</v>
      </c>
      <c r="AG225" s="125">
        <f>IF($F$4="NO",IF(Valores!$D$64*'Escala Docente'!B225&gt;Valores!$F$64,Valores!$F$64,Valores!$D$64*'Escala Docente'!B225),IF(Valores!$D$64*'Escala Docente'!B225&gt;Valores!$F$64,Valores!$F$64,Valores!$D$64*'Escala Docente'!B225)/2)</f>
        <v>37094.620000000003</v>
      </c>
      <c r="AH225" s="125">
        <f>SUM(F225,H225,J225,L225,M225,N225,O225,P225,Q225,R225,T225,U225,V225,X225,Y225,Z225,AA225,AC225,AD225,AF225,AG225)*Valores!$C$104</f>
        <v>69369.602999999988</v>
      </c>
      <c r="AI225" s="125">
        <f t="shared" si="37"/>
        <v>763065.63299999991</v>
      </c>
      <c r="AJ225" s="125">
        <f>IF(Valores!$C$33*B225&gt;Valores!$F$33,Valores!$F$33,Valores!$C$33*B225)</f>
        <v>70000</v>
      </c>
      <c r="AK225" s="125">
        <v>0</v>
      </c>
      <c r="AL225" s="125">
        <f>IF(Valores!$C$92*B225&gt;Valores!$C$91,Valores!$C$91,Valores!$C$92*B225)</f>
        <v>0</v>
      </c>
      <c r="AM225" s="125">
        <f>IF(Valores!C$40*B225&gt;Valores!F$39,Valores!F$39,Valores!C$40*B225)</f>
        <v>0</v>
      </c>
      <c r="AN225" s="125">
        <f>IF($F$3="NO",0,IF(Valores!$C$62*B225&gt;Valores!$F$62,Valores!$F$62,Valores!$C$62*B225))</f>
        <v>0</v>
      </c>
      <c r="AO225" s="125">
        <f t="shared" si="35"/>
        <v>70000</v>
      </c>
      <c r="AP225" s="125">
        <f>AI225*Valores!$C$72</f>
        <v>-83937.219629999992</v>
      </c>
      <c r="AQ225" s="125">
        <f>IF(AI225&lt;Valores!$E$73,-0.02,IF(AI225&lt;Valores!$F$73,-0.03,-0.04))*AI225</f>
        <v>-22891.968989999998</v>
      </c>
      <c r="AR225" s="125">
        <f>AI225*Valores!$C$75</f>
        <v>-41968.609814999996</v>
      </c>
      <c r="AS225" s="125">
        <f>Valores!$C$102</f>
        <v>-1270.1600000000001</v>
      </c>
      <c r="AT225" s="125">
        <f>IF($F$5=0,Valores!$C$103,(Valores!$C$103+$F$5*(Valores!$C$103)))</f>
        <v>-3700</v>
      </c>
      <c r="AU225" s="125">
        <f t="shared" si="38"/>
        <v>679297.67456499999</v>
      </c>
      <c r="AV225" s="125">
        <f t="shared" si="32"/>
        <v>-83937.219629999992</v>
      </c>
      <c r="AW225" s="125">
        <f t="shared" si="39"/>
        <v>-22891.968989999998</v>
      </c>
      <c r="AX225" s="125">
        <f>AI225*Valores!$C$76</f>
        <v>-20602.772090999999</v>
      </c>
      <c r="AY225" s="125">
        <f>AI225*Valores!$C$77</f>
        <v>-2289.1968989999996</v>
      </c>
      <c r="AZ225" s="125">
        <f t="shared" si="36"/>
        <v>703344.47538999992</v>
      </c>
      <c r="BA225" s="125">
        <f>AI225*Valores!$C$79</f>
        <v>122090.50127999998</v>
      </c>
      <c r="BB225" s="125">
        <f>AI225*Valores!$C$80</f>
        <v>53414.59431</v>
      </c>
      <c r="BC225" s="125">
        <f>AI225*Valores!$C$81</f>
        <v>7630.6563299999989</v>
      </c>
      <c r="BD225" s="125">
        <f>AI225*Valores!$C$83</f>
        <v>26707.297155</v>
      </c>
      <c r="BE225" s="125">
        <f>AI225*Valores!$C$85</f>
        <v>41205.544181999998</v>
      </c>
      <c r="BF225" s="125">
        <f>AI225*Valores!$C$84</f>
        <v>4578.3937979999992</v>
      </c>
      <c r="BG225" s="126"/>
      <c r="BH225" s="126">
        <f t="shared" si="41"/>
        <v>35</v>
      </c>
      <c r="BI225" s="123" t="s">
        <v>8</v>
      </c>
    </row>
    <row r="226" spans="1:61" s="110" customFormat="1" ht="11.25" customHeight="1" x14ac:dyDescent="0.15">
      <c r="A226" s="123" t="s">
        <v>465</v>
      </c>
      <c r="B226" s="123">
        <v>36</v>
      </c>
      <c r="C226" s="126">
        <v>219</v>
      </c>
      <c r="D226" s="124" t="str">
        <f t="shared" si="29"/>
        <v>Hora Cátedra Enseñanza Superior 36 hs</v>
      </c>
      <c r="E226" s="192">
        <f t="shared" si="30"/>
        <v>3564</v>
      </c>
      <c r="F226" s="125">
        <f>ROUND(E226*Valores!$C$2,2)</f>
        <v>276554.64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88629.52</v>
      </c>
      <c r="N226" s="125">
        <f t="shared" si="33"/>
        <v>0</v>
      </c>
      <c r="O226" s="125">
        <f>Valores!$C$7*B226</f>
        <v>94729.319999999992</v>
      </c>
      <c r="P226" s="125">
        <f>ROUND(IF(B226&lt;15,(Valores!$E$5*B226),Valores!$D$5),2)</f>
        <v>39667.43</v>
      </c>
      <c r="Q226" s="125">
        <v>0</v>
      </c>
      <c r="R226" s="125">
        <f>IF($F$4="NO",IF(Valores!$C$50*B226&gt;Valores!$F$47,Valores!$F$47,Valores!$C$50*B226),IF(Valores!$C$50*B226&gt;Valores!$F$47,Valores!$F$47,Valores!$C$50*B226)/2)</f>
        <v>48169.84</v>
      </c>
      <c r="S226" s="125">
        <f>Valores!$C$18*B226</f>
        <v>29793.600000000002</v>
      </c>
      <c r="T226" s="125">
        <f t="shared" si="40"/>
        <v>29793.599999999999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IF(Valores!$C$99*B226&gt;Valores!$C$98,Valores!$C$98,Valores!$C$99*B226)</f>
        <v>90954</v>
      </c>
      <c r="AA226" s="125">
        <f>IF((Valores!$C$28)*B226&gt;Valores!$F$28,Valores!$F$28,(Valores!$C$28)*B226)</f>
        <v>2340.7199999999998</v>
      </c>
      <c r="AB226" s="214">
        <v>0</v>
      </c>
      <c r="AC226" s="125">
        <f t="shared" si="34"/>
        <v>0</v>
      </c>
      <c r="AD226" s="125">
        <f>IF(Valores!$C$29*B226&gt;Valores!$F$29,Valores!$F$29,Valores!$C$29*B226)</f>
        <v>1622.32</v>
      </c>
      <c r="AE226" s="192">
        <v>0</v>
      </c>
      <c r="AF226" s="125">
        <f>ROUND(AE226*Valores!$C$2,2)</f>
        <v>0</v>
      </c>
      <c r="AG226" s="125">
        <f>IF($F$4="NO",IF(Valores!$D$64*'Escala Docente'!B226&gt;Valores!$F$64,Valores!$F$64,Valores!$D$64*'Escala Docente'!B226),IF(Valores!$D$64*'Escala Docente'!B226&gt;Valores!$F$64,Valores!$F$64,Valores!$D$64*'Escala Docente'!B226)/2)</f>
        <v>37094.620000000003</v>
      </c>
      <c r="AH226" s="125">
        <f>SUM(F226,H226,J226,L226,M226,N226,O226,P226,Q226,R226,T226,U226,V226,X226,Y226,Z226,AA226,AC226,AD226,AF226,AG226)*Valores!$C$104</f>
        <v>70955.600999999995</v>
      </c>
      <c r="AI226" s="125">
        <f t="shared" si="37"/>
        <v>780511.61099999992</v>
      </c>
      <c r="AJ226" s="125">
        <f>IF(Valores!$C$33*B226&gt;Valores!$F$33,Valores!$F$33,Valores!$C$33*B226)</f>
        <v>70000</v>
      </c>
      <c r="AK226" s="125">
        <v>0</v>
      </c>
      <c r="AL226" s="125">
        <f>IF(Valores!$C$92*B226&gt;Valores!$C$91,Valores!$C$91,Valores!$C$92*B226)</f>
        <v>0</v>
      </c>
      <c r="AM226" s="125">
        <f>IF(Valores!C$40*B226&gt;Valores!F$39,Valores!F$39,Valores!C$40*B226)</f>
        <v>0</v>
      </c>
      <c r="AN226" s="125">
        <f>IF($F$3="NO",0,IF(Valores!$C$62*B226&gt;Valores!$F$62,Valores!$F$62,Valores!$C$62*B226))</f>
        <v>0</v>
      </c>
      <c r="AO226" s="125">
        <f t="shared" si="35"/>
        <v>70000</v>
      </c>
      <c r="AP226" s="125">
        <f>AI226*Valores!$C$72</f>
        <v>-85856.277209999986</v>
      </c>
      <c r="AQ226" s="125">
        <f>IF(AI226&lt;Valores!$E$73,-0.02,IF(AI226&lt;Valores!$F$73,-0.03,-0.04))*AI226</f>
        <v>-23415.348329999997</v>
      </c>
      <c r="AR226" s="125">
        <f>AI226*Valores!$C$75</f>
        <v>-42928.138604999993</v>
      </c>
      <c r="AS226" s="125">
        <f>Valores!$C$102</f>
        <v>-1270.1600000000001</v>
      </c>
      <c r="AT226" s="125">
        <f>IF($F$5=0,Valores!$C$103,(Valores!$C$103+$F$5*(Valores!$C$103)))</f>
        <v>-3700</v>
      </c>
      <c r="AU226" s="125">
        <f t="shared" si="38"/>
        <v>693341.68685499998</v>
      </c>
      <c r="AV226" s="125">
        <f t="shared" si="32"/>
        <v>-85856.277209999986</v>
      </c>
      <c r="AW226" s="125">
        <f t="shared" si="39"/>
        <v>-23415.348329999997</v>
      </c>
      <c r="AX226" s="125">
        <f>AI226*Valores!$C$76</f>
        <v>-21073.813496999999</v>
      </c>
      <c r="AY226" s="125">
        <f>AI226*Valores!$C$77</f>
        <v>-2341.5348329999997</v>
      </c>
      <c r="AZ226" s="125">
        <f t="shared" si="36"/>
        <v>717824.63712999993</v>
      </c>
      <c r="BA226" s="125">
        <f>AI226*Valores!$C$79</f>
        <v>124881.85775999998</v>
      </c>
      <c r="BB226" s="125">
        <f>AI226*Valores!$C$80</f>
        <v>54635.812769999997</v>
      </c>
      <c r="BC226" s="125">
        <f>AI226*Valores!$C$81</f>
        <v>7805.116109999999</v>
      </c>
      <c r="BD226" s="125">
        <f>AI226*Valores!$C$83</f>
        <v>27317.906384999998</v>
      </c>
      <c r="BE226" s="125">
        <f>AI226*Valores!$C$85</f>
        <v>42147.626993999998</v>
      </c>
      <c r="BF226" s="125">
        <f>AI226*Valores!$C$84</f>
        <v>4683.0696659999994</v>
      </c>
      <c r="BG226" s="126"/>
      <c r="BH226" s="126">
        <f t="shared" si="41"/>
        <v>36</v>
      </c>
      <c r="BI226" s="123" t="s">
        <v>8</v>
      </c>
    </row>
    <row r="227" spans="1:61" s="110" customFormat="1" ht="11.25" customHeight="1" x14ac:dyDescent="0.15">
      <c r="A227" s="123" t="s">
        <v>466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42">79*B227</f>
        <v>79</v>
      </c>
      <c r="F227" s="125">
        <f>ROUND(E227*Valores!$C$2,2)</f>
        <v>6130.14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2085.9499999999998</v>
      </c>
      <c r="N227" s="125">
        <f t="shared" si="33"/>
        <v>0</v>
      </c>
      <c r="O227" s="125">
        <f>Valores!$C$7*B227</f>
        <v>2631.37</v>
      </c>
      <c r="P227" s="125">
        <f>ROUND(IF(B227&lt;15,(Valores!$E$5*B227),Valores!$D$5),2)</f>
        <v>2644.5</v>
      </c>
      <c r="Q227" s="125">
        <v>0</v>
      </c>
      <c r="R227" s="125">
        <f>IF($F$4="NO",IF(Valores!$C$50*B227&gt;Valores!$F$47,Valores!$F$47,Valores!$C$50*B227),IF(Valores!$C$50*B227&gt;Valores!$F$47,Valores!$F$47,Valores!$C$50*B227)/2)</f>
        <v>1386.06</v>
      </c>
      <c r="S227" s="125">
        <f>Valores!$C$18*B227</f>
        <v>827.6</v>
      </c>
      <c r="T227" s="125">
        <f t="shared" si="40"/>
        <v>827.6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IF(Valores!$C$99*B227&gt;Valores!$C$98,Valores!$C$98,Valores!$C$99*B227)</f>
        <v>2526.5</v>
      </c>
      <c r="AA227" s="125">
        <f>IF((Valores!$C$28)*B227&gt;Valores!$F$28,Valores!$F$28,(Valores!$C$28)*B227)</f>
        <v>65.02</v>
      </c>
      <c r="AB227" s="214">
        <v>0</v>
      </c>
      <c r="AC227" s="125">
        <f t="shared" si="34"/>
        <v>0</v>
      </c>
      <c r="AD227" s="125">
        <f>IF(Valores!$C$29*B227&gt;Valores!$F$29,Valores!$F$29,Valores!$C$29*B227)</f>
        <v>54.14</v>
      </c>
      <c r="AE227" s="192">
        <v>0</v>
      </c>
      <c r="AF227" s="125">
        <f>ROUND(AE227*Valores!$C$2,2)</f>
        <v>0</v>
      </c>
      <c r="AG227" s="125">
        <f>IF($F$4="NO",IF(Valores!$D$64*'Escala Docente'!B227&gt;Valores!$F$64,Valores!$F$64,Valores!$D$64*'Escala Docente'!B227),IF(Valores!$D$64*'Escala Docente'!B227&gt;Valores!$F$64,Valores!$F$64,Valores!$D$64*'Escala Docente'!B227)/2)</f>
        <v>1236.49</v>
      </c>
      <c r="AH227" s="125">
        <f>SUM(F227,H227,J227,L227,M227,N227,O227,P227,Q227,R227,T227,U227,V227,X227,Y227,Z227,AA227,AC227,AD227,AF227,AG227)*Valores!$C$104</f>
        <v>1958.777</v>
      </c>
      <c r="AI227" s="125">
        <f t="shared" si="37"/>
        <v>21546.546999999999</v>
      </c>
      <c r="AJ227" s="125">
        <f>IF(Valores!$C$33*B227&gt;Valores!$F$33,Valores!$F$33,Valores!$C$33*B227)</f>
        <v>2333.3333333333298</v>
      </c>
      <c r="AK227" s="125">
        <v>0</v>
      </c>
      <c r="AL227" s="125">
        <f>IF(Valores!$C$92*B227&gt;Valores!$C$91,Valores!$C$91,Valores!$C$92*B227)</f>
        <v>0</v>
      </c>
      <c r="AM227" s="125">
        <f>IF(Valores!C$40*B227&gt;Valores!F$39,Valores!F$39,Valores!C$40*B227)</f>
        <v>0</v>
      </c>
      <c r="AN227" s="125">
        <f>IF($F$3="NO",0,IF(Valores!$C$63*B227&gt;Valores!$F$63,Valores!$F$63,Valores!$C$63*B227))</f>
        <v>0</v>
      </c>
      <c r="AO227" s="125">
        <f t="shared" si="35"/>
        <v>2333.3333333333298</v>
      </c>
      <c r="AP227" s="125">
        <f>AI227*Valores!$C$72</f>
        <v>-2370.1201699999997</v>
      </c>
      <c r="AQ227" s="125">
        <f>IF(AI227&lt;Valores!$E$73,-0.02,IF(AI227&lt;Valores!$F$73,-0.03,-0.04))*AI227</f>
        <v>-430.93093999999996</v>
      </c>
      <c r="AR227" s="125">
        <f>AI227*Valores!$C$75</f>
        <v>-1185.0600849999998</v>
      </c>
      <c r="AS227" s="125">
        <f>Valores!$C$102</f>
        <v>-1270.1600000000001</v>
      </c>
      <c r="AT227" s="125">
        <f>IF($F$5=0,Valores!$C$103,(Valores!$C$103+$F$5*(Valores!$C$103)))</f>
        <v>-3700</v>
      </c>
      <c r="AU227" s="125">
        <f t="shared" si="38"/>
        <v>14923.60913833333</v>
      </c>
      <c r="AV227" s="125">
        <f t="shared" si="32"/>
        <v>-2370.1201699999997</v>
      </c>
      <c r="AW227" s="125">
        <f t="shared" si="39"/>
        <v>-430.93093999999996</v>
      </c>
      <c r="AX227" s="125">
        <f>AI227*Valores!$C$76</f>
        <v>-581.75676899999996</v>
      </c>
      <c r="AY227" s="125">
        <f>AI227*Valores!$C$77</f>
        <v>-64.639640999999997</v>
      </c>
      <c r="AZ227" s="125">
        <f t="shared" si="36"/>
        <v>20432.432813333326</v>
      </c>
      <c r="BA227" s="125">
        <f>AI227*Valores!$C$79</f>
        <v>3447.4475199999997</v>
      </c>
      <c r="BB227" s="125">
        <f>AI227*Valores!$C$80</f>
        <v>1508.25829</v>
      </c>
      <c r="BC227" s="125">
        <f>AI227*Valores!$C$81</f>
        <v>215.46546999999998</v>
      </c>
      <c r="BD227" s="125">
        <f>AI227*Valores!$C$83</f>
        <v>754.12914499999999</v>
      </c>
      <c r="BE227" s="125">
        <f>AI227*Valores!$C$85</f>
        <v>1163.5135379999999</v>
      </c>
      <c r="BF227" s="125">
        <f>AI227*Valores!$C$84</f>
        <v>129.27928199999999</v>
      </c>
      <c r="BG227" s="126"/>
      <c r="BH227" s="126">
        <f t="shared" si="41"/>
        <v>1</v>
      </c>
      <c r="BI227" s="123" t="s">
        <v>4</v>
      </c>
    </row>
    <row r="228" spans="1:61" s="110" customFormat="1" ht="11.25" customHeight="1" x14ac:dyDescent="0.15">
      <c r="A228" s="123" t="s">
        <v>466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42"/>
        <v>79</v>
      </c>
      <c r="F228" s="125">
        <f>ROUND(E228*Valores!$C$2,2)</f>
        <v>6130.14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2085.9499999999998</v>
      </c>
      <c r="N228" s="125">
        <f t="shared" si="33"/>
        <v>0</v>
      </c>
      <c r="O228" s="125">
        <f>Valores!$C$7*B228</f>
        <v>2631.37</v>
      </c>
      <c r="P228" s="125">
        <f>ROUND(IF(B228&lt;15,(Valores!$E$5*B228),Valores!$D$5),2)</f>
        <v>2644.5</v>
      </c>
      <c r="Q228" s="125">
        <v>0</v>
      </c>
      <c r="R228" s="125">
        <f>IF($F$4="NO",IF(Valores!$C$50*B228&gt;Valores!$F$47,Valores!$F$47,Valores!$C$50*B228),IF(Valores!$C$50*B228&gt;Valores!$F$47,Valores!$F$47,Valores!$C$50*B228)/2)</f>
        <v>1386.06</v>
      </c>
      <c r="S228" s="125">
        <f>Valores!$C$18*B228</f>
        <v>827.6</v>
      </c>
      <c r="T228" s="125">
        <f t="shared" si="40"/>
        <v>827.6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IF(Valores!$C$99*B228&gt;Valores!$C$98,Valores!$C$98,Valores!$C$99*B228)</f>
        <v>2526.5</v>
      </c>
      <c r="AA228" s="125">
        <f>IF((Valores!$C$28)*B228&gt;Valores!$F$28,Valores!$F$28,(Valores!$C$28)*B228)</f>
        <v>65.02</v>
      </c>
      <c r="AB228" s="214">
        <v>0</v>
      </c>
      <c r="AC228" s="125">
        <f t="shared" si="34"/>
        <v>0</v>
      </c>
      <c r="AD228" s="125">
        <f>IF(Valores!$C$29*B228&gt;Valores!$F$29,Valores!$F$29,Valores!$C$29*B228)</f>
        <v>54.14</v>
      </c>
      <c r="AE228" s="192">
        <v>94</v>
      </c>
      <c r="AF228" s="125">
        <f>ROUND(AE228*Valores!$C$2,2)</f>
        <v>7294.09</v>
      </c>
      <c r="AG228" s="125">
        <f>IF($F$4="NO",IF(Valores!$D$64*'Escala Docente'!B228&gt;Valores!$F$64,Valores!$F$64,Valores!$D$64*'Escala Docente'!B228),IF(Valores!$D$64*'Escala Docente'!B228&gt;Valores!$F$64,Valores!$F$64,Valores!$D$64*'Escala Docente'!B228)/2)</f>
        <v>1236.49</v>
      </c>
      <c r="AH228" s="125">
        <f>SUM(F228,H228,J228,L228,M228,N228,O228,P228,Q228,R228,T228,U228,V228,X228,Y228,Z228,AA228,AC228,AD228,AF228,AG228)*Valores!$C$104</f>
        <v>2688.1860000000001</v>
      </c>
      <c r="AI228" s="125">
        <f t="shared" si="37"/>
        <v>29570.046000000002</v>
      </c>
      <c r="AJ228" s="125">
        <f>IF(Valores!$C$33*B228&gt;Valores!$F$33,Valores!$F$33,Valores!$C$33*B228)</f>
        <v>2333.3333333333298</v>
      </c>
      <c r="AK228" s="125">
        <v>0</v>
      </c>
      <c r="AL228" s="125">
        <f>IF(Valores!$C$92*B228&gt;Valores!$C$91,Valores!$C$91,Valores!$C$92*B228)</f>
        <v>0</v>
      </c>
      <c r="AM228" s="125">
        <f>IF(Valores!C$40*B228&gt;Valores!F$39,Valores!F$39,Valores!C$40*B228)</f>
        <v>0</v>
      </c>
      <c r="AN228" s="125">
        <f>IF($F$3="NO",0,IF(Valores!$C$63*B228&gt;Valores!$F$63,Valores!$F$63,Valores!$C$63*B228))</f>
        <v>0</v>
      </c>
      <c r="AO228" s="125">
        <f t="shared" si="35"/>
        <v>2333.3333333333298</v>
      </c>
      <c r="AP228" s="125">
        <f>AI228*Valores!$C$72</f>
        <v>-3252.7050600000002</v>
      </c>
      <c r="AQ228" s="125">
        <f>IF(AI228&lt;Valores!$E$73,-0.02,IF(AI228&lt;Valores!$F$73,-0.03,-0.04))*AI228</f>
        <v>-591.40092000000004</v>
      </c>
      <c r="AR228" s="125">
        <f>AI228*Valores!$C$75</f>
        <v>-1626.3525300000001</v>
      </c>
      <c r="AS228" s="125">
        <f>Valores!$C$102</f>
        <v>-1270.1600000000001</v>
      </c>
      <c r="AT228" s="125">
        <f>IF($F$5=0,Valores!$C$103,(Valores!$C$103+$F$5*(Valores!$C$103)))</f>
        <v>-3700</v>
      </c>
      <c r="AU228" s="125">
        <f t="shared" si="38"/>
        <v>21462.76082333333</v>
      </c>
      <c r="AV228" s="125">
        <f t="shared" si="32"/>
        <v>-3252.7050600000002</v>
      </c>
      <c r="AW228" s="125">
        <f t="shared" si="39"/>
        <v>-591.40092000000004</v>
      </c>
      <c r="AX228" s="125">
        <f>AI228*Valores!$C$76</f>
        <v>-798.39124200000003</v>
      </c>
      <c r="AY228" s="125">
        <f>AI228*Valores!$C$77</f>
        <v>-88.710138000000015</v>
      </c>
      <c r="AZ228" s="125">
        <f t="shared" si="36"/>
        <v>27172.17197333333</v>
      </c>
      <c r="BA228" s="125">
        <f>AI228*Valores!$C$79</f>
        <v>4731.2073600000003</v>
      </c>
      <c r="BB228" s="125">
        <f>AI228*Valores!$C$80</f>
        <v>2069.9032200000001</v>
      </c>
      <c r="BC228" s="125">
        <f>AI228*Valores!$C$81</f>
        <v>295.70046000000002</v>
      </c>
      <c r="BD228" s="125">
        <f>AI228*Valores!$C$83</f>
        <v>1034.9516100000001</v>
      </c>
      <c r="BE228" s="125">
        <f>AI228*Valores!$C$85</f>
        <v>1596.7824840000001</v>
      </c>
      <c r="BF228" s="125">
        <f>AI228*Valores!$C$84</f>
        <v>177.42027600000003</v>
      </c>
      <c r="BG228" s="126"/>
      <c r="BH228" s="126">
        <f t="shared" si="41"/>
        <v>1</v>
      </c>
      <c r="BI228" s="123" t="s">
        <v>4</v>
      </c>
    </row>
    <row r="229" spans="1:61" s="110" customFormat="1" ht="11.25" customHeight="1" x14ac:dyDescent="0.15">
      <c r="A229" s="123" t="s">
        <v>466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42"/>
        <v>158</v>
      </c>
      <c r="F229" s="125">
        <f>ROUND(E229*Valores!$C$2,2)</f>
        <v>12260.28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4171.8999999999996</v>
      </c>
      <c r="N229" s="125">
        <f t="shared" si="33"/>
        <v>0</v>
      </c>
      <c r="O229" s="125">
        <f>Valores!$C$7*B229</f>
        <v>5262.74</v>
      </c>
      <c r="P229" s="125">
        <f>ROUND(IF(B229&lt;15,(Valores!$E$5*B229),Valores!$D$5),2)</f>
        <v>5289</v>
      </c>
      <c r="Q229" s="125">
        <v>0</v>
      </c>
      <c r="R229" s="125">
        <f>IF($F$4="NO",IF(Valores!$C$50*B229&gt;Valores!$F$47,Valores!$F$47,Valores!$C$50*B229),IF(Valores!$C$50*B229&gt;Valores!$F$47,Valores!$F$47,Valores!$C$50*B229)/2)</f>
        <v>2772.12</v>
      </c>
      <c r="S229" s="125">
        <f>Valores!$C$18*B229</f>
        <v>1655.2</v>
      </c>
      <c r="T229" s="125">
        <f t="shared" si="40"/>
        <v>1655.2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IF(Valores!$C$99*B229&gt;Valores!$C$98,Valores!$C$98,Valores!$C$99*B229)</f>
        <v>5053</v>
      </c>
      <c r="AA229" s="125">
        <f>IF((Valores!$C$28)*B229&gt;Valores!$F$28,Valores!$F$28,(Valores!$C$28)*B229)</f>
        <v>130.04</v>
      </c>
      <c r="AB229" s="214">
        <v>0</v>
      </c>
      <c r="AC229" s="125">
        <f t="shared" si="34"/>
        <v>0</v>
      </c>
      <c r="AD229" s="125">
        <f>IF(Valores!$C$29*B229&gt;Valores!$F$29,Valores!$F$29,Valores!$C$29*B229)</f>
        <v>108.28</v>
      </c>
      <c r="AE229" s="192">
        <v>0</v>
      </c>
      <c r="AF229" s="125">
        <f>ROUND(AE229*Valores!$C$2,2)</f>
        <v>0</v>
      </c>
      <c r="AG229" s="125">
        <f>IF($F$4="NO",IF(Valores!$D$64*'Escala Docente'!B229&gt;Valores!$F$64,Valores!$F$64,Valores!$D$64*'Escala Docente'!B229),IF(Valores!$D$64*'Escala Docente'!B229&gt;Valores!$F$64,Valores!$F$64,Valores!$D$64*'Escala Docente'!B229)/2)</f>
        <v>2472.98</v>
      </c>
      <c r="AH229" s="125">
        <f>SUM(F229,H229,J229,L229,M229,N229,O229,P229,Q229,R229,T229,U229,V229,X229,Y229,Z229,AA229,AC229,AD229,AF229,AG229)*Valores!$C$104</f>
        <v>3917.5540000000001</v>
      </c>
      <c r="AI229" s="125">
        <f t="shared" si="37"/>
        <v>43093.093999999997</v>
      </c>
      <c r="AJ229" s="125">
        <f>IF(Valores!$C$33*B229&gt;Valores!$F$33,Valores!$F$33,Valores!$C$33*B229)</f>
        <v>4666.6666666666597</v>
      </c>
      <c r="AK229" s="125">
        <v>0</v>
      </c>
      <c r="AL229" s="125">
        <f>IF(Valores!$C$92*B229&gt;Valores!$C$91,Valores!$C$91,Valores!$C$92*B229)</f>
        <v>0</v>
      </c>
      <c r="AM229" s="125">
        <f>IF(Valores!C$40*B229&gt;Valores!F$39,Valores!F$39,Valores!C$40*B229)</f>
        <v>0</v>
      </c>
      <c r="AN229" s="125">
        <f>IF($F$3="NO",0,IF(Valores!$C$63*B229&gt;Valores!$F$63,Valores!$F$63,Valores!$C$63*B229))</f>
        <v>0</v>
      </c>
      <c r="AO229" s="125">
        <f t="shared" si="35"/>
        <v>4666.6666666666597</v>
      </c>
      <c r="AP229" s="125">
        <f>AI229*Valores!$C$72</f>
        <v>-4740.2403399999994</v>
      </c>
      <c r="AQ229" s="125">
        <f>IF(AI229&lt;Valores!$E$73,-0.02,IF(AI229&lt;Valores!$F$73,-0.03,-0.04))*AI229</f>
        <v>-861.86187999999993</v>
      </c>
      <c r="AR229" s="125">
        <f>AI229*Valores!$C$75</f>
        <v>-2370.1201699999997</v>
      </c>
      <c r="AS229" s="125">
        <f>Valores!$C$102</f>
        <v>-1270.1600000000001</v>
      </c>
      <c r="AT229" s="125">
        <f>IF($F$5=0,Valores!$C$103,(Valores!$C$103+$F$5*(Valores!$C$103)))</f>
        <v>-3700</v>
      </c>
      <c r="AU229" s="125">
        <f t="shared" si="38"/>
        <v>34817.378276666655</v>
      </c>
      <c r="AV229" s="125">
        <f t="shared" si="32"/>
        <v>-4740.2403399999994</v>
      </c>
      <c r="AW229" s="125">
        <f t="shared" si="39"/>
        <v>-861.86187999999993</v>
      </c>
      <c r="AX229" s="125">
        <f>AI229*Valores!$C$76</f>
        <v>-1163.5135379999999</v>
      </c>
      <c r="AY229" s="125">
        <f>AI229*Valores!$C$77</f>
        <v>-129.27928199999999</v>
      </c>
      <c r="AZ229" s="125">
        <f t="shared" si="36"/>
        <v>40864.865626666651</v>
      </c>
      <c r="BA229" s="125">
        <f>AI229*Valores!$C$79</f>
        <v>6894.8950399999994</v>
      </c>
      <c r="BB229" s="125">
        <f>AI229*Valores!$C$80</f>
        <v>3016.51658</v>
      </c>
      <c r="BC229" s="125">
        <f>AI229*Valores!$C$81</f>
        <v>430.93093999999996</v>
      </c>
      <c r="BD229" s="125">
        <f>AI229*Valores!$C$83</f>
        <v>1508.25829</v>
      </c>
      <c r="BE229" s="125">
        <f>AI229*Valores!$C$85</f>
        <v>2327.0270759999999</v>
      </c>
      <c r="BF229" s="125">
        <f>AI229*Valores!$C$84</f>
        <v>258.55856399999999</v>
      </c>
      <c r="BG229" s="126"/>
      <c r="BH229" s="126">
        <f t="shared" si="41"/>
        <v>2</v>
      </c>
      <c r="BI229" s="123" t="s">
        <v>4</v>
      </c>
    </row>
    <row r="230" spans="1:61" s="110" customFormat="1" ht="11.25" customHeight="1" x14ac:dyDescent="0.15">
      <c r="A230" s="123" t="s">
        <v>466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42"/>
        <v>158</v>
      </c>
      <c r="F230" s="125">
        <f>ROUND(E230*Valores!$C$2,2)</f>
        <v>12260.28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4171.8999999999996</v>
      </c>
      <c r="N230" s="125">
        <f t="shared" si="33"/>
        <v>0</v>
      </c>
      <c r="O230" s="125">
        <f>Valores!$C$7*B230</f>
        <v>5262.74</v>
      </c>
      <c r="P230" s="125">
        <f>ROUND(IF(B230&lt;15,(Valores!$E$5*B230),Valores!$D$5),2)</f>
        <v>5289</v>
      </c>
      <c r="Q230" s="125">
        <v>0</v>
      </c>
      <c r="R230" s="125">
        <f>IF($F$4="NO",IF(Valores!$C$50*B230&gt;Valores!$F$47,Valores!$F$47,Valores!$C$50*B230),IF(Valores!$C$50*B230&gt;Valores!$F$47,Valores!$F$47,Valores!$C$50*B230)/2)</f>
        <v>2772.12</v>
      </c>
      <c r="S230" s="125">
        <f>Valores!$C$18*B230</f>
        <v>1655.2</v>
      </c>
      <c r="T230" s="125">
        <f t="shared" si="40"/>
        <v>1655.2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IF(Valores!$C$99*B230&gt;Valores!$C$98,Valores!$C$98,Valores!$C$99*B230)</f>
        <v>5053</v>
      </c>
      <c r="AA230" s="125">
        <f>IF((Valores!$C$28)*B230&gt;Valores!$F$28,Valores!$F$28,(Valores!$C$28)*B230)</f>
        <v>130.04</v>
      </c>
      <c r="AB230" s="214">
        <v>0</v>
      </c>
      <c r="AC230" s="125">
        <f t="shared" si="34"/>
        <v>0</v>
      </c>
      <c r="AD230" s="125">
        <f>IF(Valores!$C$29*B230&gt;Valores!$F$29,Valores!$F$29,Valores!$C$29*B230)</f>
        <v>108.28</v>
      </c>
      <c r="AE230" s="192">
        <v>94</v>
      </c>
      <c r="AF230" s="125">
        <f>ROUND(AE230*Valores!$C$2,2)</f>
        <v>7294.09</v>
      </c>
      <c r="AG230" s="125">
        <f>IF($F$4="NO",IF(Valores!$D$64*'Escala Docente'!B230&gt;Valores!$F$64,Valores!$F$64,Valores!$D$64*'Escala Docente'!B230),IF(Valores!$D$64*'Escala Docente'!B230&gt;Valores!$F$64,Valores!$F$64,Valores!$D$64*'Escala Docente'!B230)/2)</f>
        <v>2472.98</v>
      </c>
      <c r="AH230" s="125">
        <f>SUM(F230,H230,J230,L230,M230,N230,O230,P230,Q230,R230,T230,U230,V230,X230,Y230,Z230,AA230,AC230,AD230,AF230,AG230)*Valores!$C$104</f>
        <v>4646.9629999999997</v>
      </c>
      <c r="AI230" s="125">
        <f t="shared" si="37"/>
        <v>51116.592999999993</v>
      </c>
      <c r="AJ230" s="125">
        <f>IF(Valores!$C$33*B230&gt;Valores!$F$33,Valores!$F$33,Valores!$C$33*B230)</f>
        <v>4666.6666666666597</v>
      </c>
      <c r="AK230" s="125">
        <v>0</v>
      </c>
      <c r="AL230" s="125">
        <f>IF(Valores!$C$92*B230&gt;Valores!$C$91,Valores!$C$91,Valores!$C$92*B230)</f>
        <v>0</v>
      </c>
      <c r="AM230" s="125">
        <f>IF(Valores!C$40*B230&gt;Valores!F$39,Valores!F$39,Valores!C$40*B230)</f>
        <v>0</v>
      </c>
      <c r="AN230" s="125">
        <f>IF($F$3="NO",0,IF(Valores!$C$63*B230&gt;Valores!$F$63,Valores!$F$63,Valores!$C$63*B230))</f>
        <v>0</v>
      </c>
      <c r="AO230" s="125">
        <f t="shared" si="35"/>
        <v>4666.6666666666597</v>
      </c>
      <c r="AP230" s="125">
        <f>AI230*Valores!$C$72</f>
        <v>-5622.8252299999995</v>
      </c>
      <c r="AQ230" s="125">
        <f>IF(AI230&lt;Valores!$E$73,-0.02,IF(AI230&lt;Valores!$F$73,-0.03,-0.04))*AI230</f>
        <v>-1022.3318599999999</v>
      </c>
      <c r="AR230" s="125">
        <f>AI230*Valores!$C$75</f>
        <v>-2811.4126149999997</v>
      </c>
      <c r="AS230" s="125">
        <f>Valores!$C$102</f>
        <v>-1270.1600000000001</v>
      </c>
      <c r="AT230" s="125">
        <f>IF($F$5=0,Valores!$C$103,(Valores!$C$103+$F$5*(Valores!$C$103)))</f>
        <v>-3700</v>
      </c>
      <c r="AU230" s="125">
        <f t="shared" si="38"/>
        <v>41356.529961666653</v>
      </c>
      <c r="AV230" s="125">
        <f t="shared" si="32"/>
        <v>-5622.8252299999995</v>
      </c>
      <c r="AW230" s="125">
        <f t="shared" si="39"/>
        <v>-1022.3318599999999</v>
      </c>
      <c r="AX230" s="125">
        <f>AI230*Valores!$C$76</f>
        <v>-1380.1480109999998</v>
      </c>
      <c r="AY230" s="125">
        <f>AI230*Valores!$C$77</f>
        <v>-153.34977899999998</v>
      </c>
      <c r="AZ230" s="125">
        <f t="shared" si="36"/>
        <v>47604.604786666649</v>
      </c>
      <c r="BA230" s="125">
        <f>AI230*Valores!$C$79</f>
        <v>8178.6548799999991</v>
      </c>
      <c r="BB230" s="125">
        <f>AI230*Valores!$C$80</f>
        <v>3578.1615099999999</v>
      </c>
      <c r="BC230" s="125">
        <f>AI230*Valores!$C$81</f>
        <v>511.16592999999995</v>
      </c>
      <c r="BD230" s="125">
        <f>AI230*Valores!$C$83</f>
        <v>1789.080755</v>
      </c>
      <c r="BE230" s="125">
        <f>AI230*Valores!$C$85</f>
        <v>2760.2960219999995</v>
      </c>
      <c r="BF230" s="125">
        <f>AI230*Valores!$C$84</f>
        <v>306.69955799999997</v>
      </c>
      <c r="BG230" s="126"/>
      <c r="BH230" s="126">
        <f t="shared" si="41"/>
        <v>2</v>
      </c>
      <c r="BI230" s="123" t="s">
        <v>4</v>
      </c>
    </row>
    <row r="231" spans="1:61" s="110" customFormat="1" ht="11.25" customHeight="1" x14ac:dyDescent="0.15">
      <c r="A231" s="123" t="s">
        <v>466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42"/>
        <v>237</v>
      </c>
      <c r="F231" s="125">
        <f>ROUND(E231*Valores!$C$2,2)</f>
        <v>18390.419999999998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6257.85</v>
      </c>
      <c r="N231" s="125">
        <f t="shared" si="33"/>
        <v>0</v>
      </c>
      <c r="O231" s="125">
        <f>Valores!$C$7*B231</f>
        <v>7894.11</v>
      </c>
      <c r="P231" s="125">
        <f>ROUND(IF(B231&lt;15,(Valores!$E$5*B231),Valores!$D$5),2)</f>
        <v>7933.5</v>
      </c>
      <c r="Q231" s="125">
        <v>0</v>
      </c>
      <c r="R231" s="125">
        <f>IF($F$4="NO",IF(Valores!$C$50*B231&gt;Valores!$F$47,Valores!$F$47,Valores!$C$50*B231),IF(Valores!$C$50*B231&gt;Valores!$F$47,Valores!$F$47,Valores!$C$50*B231)/2)</f>
        <v>4158.18</v>
      </c>
      <c r="S231" s="125">
        <f>Valores!$C$18*B231</f>
        <v>2482.8000000000002</v>
      </c>
      <c r="T231" s="125">
        <f t="shared" si="40"/>
        <v>2482.8000000000002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IF(Valores!$C$99*B231&gt;Valores!$C$98,Valores!$C$98,Valores!$C$99*B231)</f>
        <v>7579.5</v>
      </c>
      <c r="AA231" s="125">
        <f>IF((Valores!$C$28)*B231&gt;Valores!$F$28,Valores!$F$28,(Valores!$C$28)*B231)</f>
        <v>195.06</v>
      </c>
      <c r="AB231" s="214">
        <v>0</v>
      </c>
      <c r="AC231" s="125">
        <f t="shared" si="34"/>
        <v>0</v>
      </c>
      <c r="AD231" s="125">
        <f>IF(Valores!$C$29*B231&gt;Valores!$F$29,Valores!$F$29,Valores!$C$29*B231)</f>
        <v>162.42000000000002</v>
      </c>
      <c r="AE231" s="192">
        <v>0</v>
      </c>
      <c r="AF231" s="125">
        <f>ROUND(AE231*Valores!$C$2,2)</f>
        <v>0</v>
      </c>
      <c r="AG231" s="125">
        <f>IF($F$4="NO",IF(Valores!$D$64*'Escala Docente'!B231&gt;Valores!$F$64,Valores!$F$64,Valores!$D$64*'Escala Docente'!B231),IF(Valores!$D$64*'Escala Docente'!B231&gt;Valores!$F$64,Valores!$F$64,Valores!$D$64*'Escala Docente'!B231)/2)+0.01</f>
        <v>3709.4800000000005</v>
      </c>
      <c r="AH231" s="125">
        <f>SUM(F231,H231,J231,L231,M231,N231,O231,P231,Q231,R231,T231,U231,V231,X231,Y231,Z231,AA231,AC231,AD231,AF231,AG231)*Valores!$C$104</f>
        <v>5876.3320000000003</v>
      </c>
      <c r="AI231" s="125">
        <f t="shared" si="37"/>
        <v>64639.652000000002</v>
      </c>
      <c r="AJ231" s="125">
        <f>IF(Valores!$C$33*B231&gt;Valores!$F$33,Valores!$F$33,Valores!$C$33*B231)</f>
        <v>6999.9999999999891</v>
      </c>
      <c r="AK231" s="125">
        <v>0</v>
      </c>
      <c r="AL231" s="125">
        <f>IF(Valores!$C$92*B231&gt;Valores!$C$91,Valores!$C$91,Valores!$C$92*B231)</f>
        <v>0</v>
      </c>
      <c r="AM231" s="125">
        <f>IF(Valores!C$40*B231&gt;Valores!F$39,Valores!F$39,Valores!C$40*B231)</f>
        <v>0</v>
      </c>
      <c r="AN231" s="125">
        <f>IF($F$3="NO",0,IF(Valores!$C$63*B231&gt;Valores!$F$63,Valores!$F$63,Valores!$C$63*B231))</f>
        <v>0</v>
      </c>
      <c r="AO231" s="125">
        <f t="shared" si="35"/>
        <v>6999.9999999999891</v>
      </c>
      <c r="AP231" s="125">
        <f>AI231*Valores!$C$72</f>
        <v>-7110.3617199999999</v>
      </c>
      <c r="AQ231" s="125">
        <f>IF(AI231&lt;Valores!$E$73,-0.02,IF(AI231&lt;Valores!$F$73,-0.03,-0.04))*AI231</f>
        <v>-1292.79304</v>
      </c>
      <c r="AR231" s="125">
        <f>AI231*Valores!$C$75</f>
        <v>-3555.1808599999999</v>
      </c>
      <c r="AS231" s="125">
        <f>Valores!$C$102</f>
        <v>-1270.1600000000001</v>
      </c>
      <c r="AT231" s="125">
        <f>IF($F$5=0,Valores!$C$103,(Valores!$C$103+$F$5*(Valores!$C$103)))</f>
        <v>-3700</v>
      </c>
      <c r="AU231" s="125">
        <f t="shared" si="38"/>
        <v>54711.156379999993</v>
      </c>
      <c r="AV231" s="125">
        <f t="shared" si="32"/>
        <v>-7110.3617199999999</v>
      </c>
      <c r="AW231" s="125">
        <f t="shared" si="39"/>
        <v>-1292.79304</v>
      </c>
      <c r="AX231" s="125">
        <f>AI231*Valores!$C$76</f>
        <v>-1745.270604</v>
      </c>
      <c r="AY231" s="125">
        <f>AI231*Valores!$C$77</f>
        <v>-193.91895600000001</v>
      </c>
      <c r="AZ231" s="125">
        <f t="shared" si="36"/>
        <v>61297.307679999991</v>
      </c>
      <c r="BA231" s="125">
        <f>AI231*Valores!$C$79</f>
        <v>10342.34432</v>
      </c>
      <c r="BB231" s="125">
        <f>AI231*Valores!$C$80</f>
        <v>4524.7756400000007</v>
      </c>
      <c r="BC231" s="125">
        <f>AI231*Valores!$C$81</f>
        <v>646.39652000000001</v>
      </c>
      <c r="BD231" s="125">
        <f>AI231*Valores!$C$83</f>
        <v>2262.3878200000004</v>
      </c>
      <c r="BE231" s="125">
        <f>AI231*Valores!$C$85</f>
        <v>3490.5412080000001</v>
      </c>
      <c r="BF231" s="125">
        <f>AI231*Valores!$C$84</f>
        <v>387.83791200000002</v>
      </c>
      <c r="BG231" s="126"/>
      <c r="BH231" s="126">
        <f t="shared" si="41"/>
        <v>3</v>
      </c>
      <c r="BI231" s="123" t="s">
        <v>4</v>
      </c>
    </row>
    <row r="232" spans="1:61" s="110" customFormat="1" ht="11.25" customHeight="1" x14ac:dyDescent="0.15">
      <c r="A232" s="123" t="s">
        <v>466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42"/>
        <v>237</v>
      </c>
      <c r="F232" s="125">
        <f>ROUND(E232*Valores!$C$2,2)</f>
        <v>18390.419999999998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6257.85</v>
      </c>
      <c r="N232" s="125">
        <f t="shared" si="33"/>
        <v>0</v>
      </c>
      <c r="O232" s="125">
        <f>Valores!$C$7*B232</f>
        <v>7894.11</v>
      </c>
      <c r="P232" s="125">
        <f>ROUND(IF(B232&lt;15,(Valores!$E$5*B232),Valores!$D$5),2)</f>
        <v>7933.5</v>
      </c>
      <c r="Q232" s="125">
        <v>0</v>
      </c>
      <c r="R232" s="125">
        <f>IF($F$4="NO",IF(Valores!$C$50*B232&gt;Valores!$F$47,Valores!$F$47,Valores!$C$50*B232),IF(Valores!$C$50*B232&gt;Valores!$F$47,Valores!$F$47,Valores!$C$50*B232)/2)</f>
        <v>4158.18</v>
      </c>
      <c r="S232" s="125">
        <f>Valores!$C$18*B232</f>
        <v>2482.8000000000002</v>
      </c>
      <c r="T232" s="125">
        <f t="shared" si="40"/>
        <v>2482.8000000000002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IF(Valores!$C$99*B232&gt;Valores!$C$98,Valores!$C$98,Valores!$C$99*B232)</f>
        <v>7579.5</v>
      </c>
      <c r="AA232" s="125">
        <f>IF((Valores!$C$28)*B232&gt;Valores!$F$28,Valores!$F$28,(Valores!$C$28)*B232)</f>
        <v>195.06</v>
      </c>
      <c r="AB232" s="214">
        <v>0</v>
      </c>
      <c r="AC232" s="125">
        <f t="shared" si="34"/>
        <v>0</v>
      </c>
      <c r="AD232" s="125">
        <f>IF(Valores!$C$29*B232&gt;Valores!$F$29,Valores!$F$29,Valores!$C$29*B232)</f>
        <v>162.42000000000002</v>
      </c>
      <c r="AE232" s="192">
        <v>94</v>
      </c>
      <c r="AF232" s="125">
        <f>ROUND(AE232*Valores!$C$2,2)</f>
        <v>7294.09</v>
      </c>
      <c r="AG232" s="125">
        <f>IF($F$4="NO",IF(Valores!$D$64*'Escala Docente'!B232&gt;Valores!$F$64,Valores!$F$64,Valores!$D$64*'Escala Docente'!B232),IF(Valores!$D$64*'Escala Docente'!B232&gt;Valores!$F$64,Valores!$F$64,Valores!$D$64*'Escala Docente'!B232)/2)+0.01</f>
        <v>3709.4800000000005</v>
      </c>
      <c r="AH232" s="125">
        <f>SUM(F232,H232,J232,L232,M232,N232,O232,P232,Q232,R232,T232,U232,V232,X232,Y232,Z232,AA232,AC232,AD232,AF232,AG232)*Valores!$C$104</f>
        <v>6605.7409999999991</v>
      </c>
      <c r="AI232" s="125">
        <f t="shared" si="37"/>
        <v>72663.150999999983</v>
      </c>
      <c r="AJ232" s="125">
        <f>IF(Valores!$C$33*B232&gt;Valores!$F$33,Valores!$F$33,Valores!$C$33*B232)</f>
        <v>6999.9999999999891</v>
      </c>
      <c r="AK232" s="125">
        <v>0</v>
      </c>
      <c r="AL232" s="125">
        <f>IF(Valores!$C$92*B232&gt;Valores!$C$91,Valores!$C$91,Valores!$C$92*B232)</f>
        <v>0</v>
      </c>
      <c r="AM232" s="125">
        <f>IF(Valores!C$40*B232&gt;Valores!F$39,Valores!F$39,Valores!C$40*B232)</f>
        <v>0</v>
      </c>
      <c r="AN232" s="125">
        <f>IF($F$3="NO",0,IF(Valores!$C$63*B232&gt;Valores!$F$63,Valores!$F$63,Valores!$C$63*B232))</f>
        <v>0</v>
      </c>
      <c r="AO232" s="125">
        <f t="shared" si="35"/>
        <v>6999.9999999999891</v>
      </c>
      <c r="AP232" s="125">
        <f>AI232*Valores!$C$72</f>
        <v>-7992.9466099999981</v>
      </c>
      <c r="AQ232" s="125">
        <f>IF(AI232&lt;Valores!$E$73,-0.02,IF(AI232&lt;Valores!$F$73,-0.03,-0.04))*AI232</f>
        <v>-1453.2630199999996</v>
      </c>
      <c r="AR232" s="125">
        <f>AI232*Valores!$C$75</f>
        <v>-3996.4733049999991</v>
      </c>
      <c r="AS232" s="125">
        <f>Valores!$C$102</f>
        <v>-1270.1600000000001</v>
      </c>
      <c r="AT232" s="125">
        <f>IF($F$5=0,Valores!$C$103,(Valores!$C$103+$F$5*(Valores!$C$103)))</f>
        <v>-3700</v>
      </c>
      <c r="AU232" s="125">
        <f t="shared" si="38"/>
        <v>61250.308064999976</v>
      </c>
      <c r="AV232" s="125">
        <f t="shared" si="32"/>
        <v>-7992.9466099999981</v>
      </c>
      <c r="AW232" s="125">
        <f t="shared" si="39"/>
        <v>-1453.2630199999996</v>
      </c>
      <c r="AX232" s="125">
        <f>AI232*Valores!$C$76</f>
        <v>-1961.9050769999994</v>
      </c>
      <c r="AY232" s="125">
        <f>AI232*Valores!$C$77</f>
        <v>-217.98945299999997</v>
      </c>
      <c r="AZ232" s="125">
        <f t="shared" si="36"/>
        <v>68037.046839999966</v>
      </c>
      <c r="BA232" s="125">
        <f>AI232*Valores!$C$79</f>
        <v>11626.104159999997</v>
      </c>
      <c r="BB232" s="125">
        <f>AI232*Valores!$C$80</f>
        <v>5086.4205699999993</v>
      </c>
      <c r="BC232" s="125">
        <f>AI232*Valores!$C$81</f>
        <v>726.63150999999982</v>
      </c>
      <c r="BD232" s="125">
        <f>AI232*Valores!$C$83</f>
        <v>2543.2102849999997</v>
      </c>
      <c r="BE232" s="125">
        <f>AI232*Valores!$C$85</f>
        <v>3923.8101539999989</v>
      </c>
      <c r="BF232" s="125">
        <f>AI232*Valores!$C$84</f>
        <v>435.97890599999994</v>
      </c>
      <c r="BG232" s="126"/>
      <c r="BH232" s="126">
        <f t="shared" si="41"/>
        <v>3</v>
      </c>
      <c r="BI232" s="123" t="s">
        <v>4</v>
      </c>
    </row>
    <row r="233" spans="1:61" s="110" customFormat="1" ht="11.25" customHeight="1" x14ac:dyDescent="0.15">
      <c r="A233" s="123" t="s">
        <v>466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42"/>
        <v>316</v>
      </c>
      <c r="F233" s="125">
        <f>ROUND(E233*Valores!$C$2,2)</f>
        <v>24520.560000000001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8343.7999999999993</v>
      </c>
      <c r="N233" s="125">
        <f t="shared" si="33"/>
        <v>0</v>
      </c>
      <c r="O233" s="125">
        <f>Valores!$C$7*B233</f>
        <v>10525.48</v>
      </c>
      <c r="P233" s="125">
        <f>ROUND(IF(B233&lt;15,(Valores!$E$5*B233),Valores!$D$5),2)</f>
        <v>10578</v>
      </c>
      <c r="Q233" s="125">
        <v>0</v>
      </c>
      <c r="R233" s="125">
        <f>IF($F$4="NO",IF(Valores!$C$50*B233&gt;Valores!$F$47,Valores!$F$47,Valores!$C$50*B233),IF(Valores!$C$50*B233&gt;Valores!$F$47,Valores!$F$47,Valores!$C$50*B233)/2)</f>
        <v>5544.24</v>
      </c>
      <c r="S233" s="125">
        <f>Valores!$C$18*B233</f>
        <v>3310.4</v>
      </c>
      <c r="T233" s="125">
        <f t="shared" si="40"/>
        <v>3310.4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IF(Valores!$C$99*B233&gt;Valores!$C$98,Valores!$C$98,Valores!$C$99*B233)</f>
        <v>10106</v>
      </c>
      <c r="AA233" s="125">
        <f>IF((Valores!$C$28)*B233&gt;Valores!$F$28,Valores!$F$28,(Valores!$C$28)*B233)</f>
        <v>260.08</v>
      </c>
      <c r="AB233" s="214">
        <v>0</v>
      </c>
      <c r="AC233" s="125">
        <f t="shared" si="34"/>
        <v>0</v>
      </c>
      <c r="AD233" s="125">
        <f>IF(Valores!$C$29*B233&gt;Valores!$F$29,Valores!$F$29,Valores!$C$29*B233)</f>
        <v>216.56</v>
      </c>
      <c r="AE233" s="192">
        <v>0</v>
      </c>
      <c r="AF233" s="125">
        <f>ROUND(AE233*Valores!$C$2,2)</f>
        <v>0</v>
      </c>
      <c r="AG233" s="125">
        <f>IF($F$4="NO",IF(Valores!$D$64*'Escala Docente'!B233&gt;Valores!$F$64,Valores!$F$64,Valores!$D$64*'Escala Docente'!B233),IF(Valores!$D$64*'Escala Docente'!B233&gt;Valores!$F$64,Valores!$F$64,Valores!$D$64*'Escala Docente'!B233)/2)+0.01</f>
        <v>4945.97</v>
      </c>
      <c r="AH233" s="125">
        <f>SUM(F233,H233,J233,L233,M233,N233,O233,P233,Q233,R233,T233,U233,V233,X233,Y233,Z233,AA233,AC233,AD233,AF233,AG233)*Valores!$C$104</f>
        <v>7835.1090000000004</v>
      </c>
      <c r="AI233" s="125">
        <f t="shared" si="37"/>
        <v>86186.198999999993</v>
      </c>
      <c r="AJ233" s="125">
        <f>IF(Valores!$C$33*B233&gt;Valores!$F$33,Valores!$F$33,Valores!$C$33*B233)</f>
        <v>9333.3333333333194</v>
      </c>
      <c r="AK233" s="125">
        <v>0</v>
      </c>
      <c r="AL233" s="125">
        <f>IF(Valores!$C$92*B233&gt;Valores!$C$91,Valores!$C$91,Valores!$C$92*B233)</f>
        <v>0</v>
      </c>
      <c r="AM233" s="125">
        <f>IF(Valores!C$40*B233&gt;Valores!F$39,Valores!F$39,Valores!C$40*B233)</f>
        <v>0</v>
      </c>
      <c r="AN233" s="125">
        <f>IF($F$3="NO",0,IF(Valores!$C$63*B233&gt;Valores!$F$63,Valores!$F$63,Valores!$C$63*B233))</f>
        <v>0</v>
      </c>
      <c r="AO233" s="125">
        <f t="shared" si="35"/>
        <v>9333.3333333333194</v>
      </c>
      <c r="AP233" s="125">
        <f>AI233*Valores!$C$72</f>
        <v>-9480.4818899999991</v>
      </c>
      <c r="AQ233" s="125">
        <f>IF(AI233&lt;Valores!$E$73,-0.02,IF(AI233&lt;Valores!$F$73,-0.03,-0.04))*AI233</f>
        <v>-1723.72398</v>
      </c>
      <c r="AR233" s="125">
        <f>AI233*Valores!$C$75</f>
        <v>-4740.2409449999996</v>
      </c>
      <c r="AS233" s="125">
        <f>Valores!$C$102</f>
        <v>-1270.1600000000001</v>
      </c>
      <c r="AT233" s="125">
        <f>IF($F$5=0,Valores!$C$103,(Valores!$C$103+$F$5*(Valores!$C$103)))</f>
        <v>-3700</v>
      </c>
      <c r="AU233" s="125">
        <f t="shared" si="38"/>
        <v>74604.925518333315</v>
      </c>
      <c r="AV233" s="125">
        <f t="shared" si="32"/>
        <v>-9480.4818899999991</v>
      </c>
      <c r="AW233" s="125">
        <f t="shared" si="39"/>
        <v>-1723.72398</v>
      </c>
      <c r="AX233" s="125">
        <f>AI233*Valores!$C$76</f>
        <v>-2327.0273729999999</v>
      </c>
      <c r="AY233" s="125">
        <f>AI233*Valores!$C$77</f>
        <v>-258.55859699999996</v>
      </c>
      <c r="AZ233" s="125">
        <f t="shared" si="36"/>
        <v>81729.740493333316</v>
      </c>
      <c r="BA233" s="125">
        <f>AI233*Valores!$C$79</f>
        <v>13789.79184</v>
      </c>
      <c r="BB233" s="125">
        <f>AI233*Valores!$C$80</f>
        <v>6033.0339300000005</v>
      </c>
      <c r="BC233" s="125">
        <f>AI233*Valores!$C$81</f>
        <v>861.86198999999999</v>
      </c>
      <c r="BD233" s="125">
        <f>AI233*Valores!$C$83</f>
        <v>3016.5169650000003</v>
      </c>
      <c r="BE233" s="125">
        <f>AI233*Valores!$C$85</f>
        <v>4654.0547459999998</v>
      </c>
      <c r="BF233" s="125">
        <f>AI233*Valores!$C$84</f>
        <v>517.11719399999993</v>
      </c>
      <c r="BG233" s="126"/>
      <c r="BH233" s="126">
        <f t="shared" si="41"/>
        <v>4</v>
      </c>
      <c r="BI233" s="123" t="s">
        <v>4</v>
      </c>
    </row>
    <row r="234" spans="1:61" s="110" customFormat="1" ht="11.25" customHeight="1" x14ac:dyDescent="0.15">
      <c r="A234" s="123" t="s">
        <v>466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42"/>
        <v>316</v>
      </c>
      <c r="F234" s="125">
        <f>ROUND(E234*Valores!$C$2,2)</f>
        <v>24520.560000000001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8343.7999999999993</v>
      </c>
      <c r="N234" s="125">
        <f t="shared" si="33"/>
        <v>0</v>
      </c>
      <c r="O234" s="125">
        <f>Valores!$C$7*B234</f>
        <v>10525.48</v>
      </c>
      <c r="P234" s="125">
        <f>ROUND(IF(B234&lt;15,(Valores!$E$5*B234),Valores!$D$5),2)</f>
        <v>10578</v>
      </c>
      <c r="Q234" s="125">
        <v>0</v>
      </c>
      <c r="R234" s="125">
        <f>IF($F$4="NO",IF(Valores!$C$50*B234&gt;Valores!$F$47,Valores!$F$47,Valores!$C$50*B234),IF(Valores!$C$50*B234&gt;Valores!$F$47,Valores!$F$47,Valores!$C$50*B234)/2)</f>
        <v>5544.24</v>
      </c>
      <c r="S234" s="125">
        <f>Valores!$C$18*B234</f>
        <v>3310.4</v>
      </c>
      <c r="T234" s="125">
        <f t="shared" si="40"/>
        <v>3310.4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IF(Valores!$C$99*B234&gt;Valores!$C$98,Valores!$C$98,Valores!$C$99*B234)</f>
        <v>10106</v>
      </c>
      <c r="AA234" s="125">
        <f>IF((Valores!$C$28)*B234&gt;Valores!$F$28,Valores!$F$28,(Valores!$C$28)*B234)</f>
        <v>260.08</v>
      </c>
      <c r="AB234" s="214">
        <v>0</v>
      </c>
      <c r="AC234" s="125">
        <f t="shared" si="34"/>
        <v>0</v>
      </c>
      <c r="AD234" s="125">
        <f>IF(Valores!$C$29*B234&gt;Valores!$F$29,Valores!$F$29,Valores!$C$29*B234)</f>
        <v>216.56</v>
      </c>
      <c r="AE234" s="192">
        <v>94</v>
      </c>
      <c r="AF234" s="125">
        <f>ROUND(AE234*Valores!$C$2,2)</f>
        <v>7294.09</v>
      </c>
      <c r="AG234" s="125">
        <f>IF($F$4="NO",IF(Valores!$D$64*'Escala Docente'!B234&gt;Valores!$F$64,Valores!$F$64,Valores!$D$64*'Escala Docente'!B234),IF(Valores!$D$64*'Escala Docente'!B234&gt;Valores!$F$64,Valores!$F$64,Valores!$D$64*'Escala Docente'!B234)/2)+0.01</f>
        <v>4945.97</v>
      </c>
      <c r="AH234" s="125">
        <f>SUM(F234,H234,J234,L234,M234,N234,O234,P234,Q234,R234,T234,U234,V234,X234,Y234,Z234,AA234,AC234,AD234,AF234,AG234)*Valores!$C$104</f>
        <v>8564.518</v>
      </c>
      <c r="AI234" s="125">
        <f t="shared" si="37"/>
        <v>94209.697999999989</v>
      </c>
      <c r="AJ234" s="125">
        <f>IF(Valores!$C$33*B234&gt;Valores!$F$33,Valores!$F$33,Valores!$C$33*B234)</f>
        <v>9333.3333333333194</v>
      </c>
      <c r="AK234" s="125">
        <v>0</v>
      </c>
      <c r="AL234" s="125">
        <f>IF(Valores!$C$92*B234&gt;Valores!$C$91,Valores!$C$91,Valores!$C$92*B234)</f>
        <v>0</v>
      </c>
      <c r="AM234" s="125">
        <f>IF(Valores!C$40*B234&gt;Valores!F$39,Valores!F$39,Valores!C$40*B234)</f>
        <v>0</v>
      </c>
      <c r="AN234" s="125">
        <f>IF($F$3="NO",0,IF(Valores!$C$63*B234&gt;Valores!$F$63,Valores!$F$63,Valores!$C$63*B234))</f>
        <v>0</v>
      </c>
      <c r="AO234" s="125">
        <f t="shared" si="35"/>
        <v>9333.3333333333194</v>
      </c>
      <c r="AP234" s="125">
        <f>AI234*Valores!$C$72</f>
        <v>-10363.066779999999</v>
      </c>
      <c r="AQ234" s="125">
        <f>IF(AI234&lt;Valores!$E$73,-0.02,IF(AI234&lt;Valores!$F$73,-0.03,-0.04))*AI234</f>
        <v>-1884.1939599999998</v>
      </c>
      <c r="AR234" s="125">
        <f>AI234*Valores!$C$75</f>
        <v>-5181.5333899999996</v>
      </c>
      <c r="AS234" s="125">
        <f>Valores!$C$102</f>
        <v>-1270.1600000000001</v>
      </c>
      <c r="AT234" s="125">
        <f>IF($F$5=0,Valores!$C$103,(Valores!$C$103+$F$5*(Valores!$C$103)))</f>
        <v>-3700</v>
      </c>
      <c r="AU234" s="125">
        <f t="shared" si="38"/>
        <v>81144.077203333305</v>
      </c>
      <c r="AV234" s="125">
        <f t="shared" si="32"/>
        <v>-10363.066779999999</v>
      </c>
      <c r="AW234" s="125">
        <f t="shared" si="39"/>
        <v>-1884.1939599999998</v>
      </c>
      <c r="AX234" s="125">
        <f>AI234*Valores!$C$76</f>
        <v>-2543.6618459999995</v>
      </c>
      <c r="AY234" s="125">
        <f>AI234*Valores!$C$77</f>
        <v>-282.62909399999995</v>
      </c>
      <c r="AZ234" s="125">
        <f t="shared" si="36"/>
        <v>88469.479653333299</v>
      </c>
      <c r="BA234" s="125">
        <f>AI234*Valores!$C$79</f>
        <v>15073.551679999999</v>
      </c>
      <c r="BB234" s="125">
        <f>AI234*Valores!$C$80</f>
        <v>6594.67886</v>
      </c>
      <c r="BC234" s="125">
        <f>AI234*Valores!$C$81</f>
        <v>942.09697999999992</v>
      </c>
      <c r="BD234" s="125">
        <f>AI234*Valores!$C$83</f>
        <v>3297.33943</v>
      </c>
      <c r="BE234" s="125">
        <f>AI234*Valores!$C$85</f>
        <v>5087.323691999999</v>
      </c>
      <c r="BF234" s="125">
        <f>AI234*Valores!$C$84</f>
        <v>565.2581879999999</v>
      </c>
      <c r="BG234" s="126"/>
      <c r="BH234" s="126">
        <f t="shared" si="41"/>
        <v>4</v>
      </c>
      <c r="BI234" s="123" t="s">
        <v>4</v>
      </c>
    </row>
    <row r="235" spans="1:61" s="110" customFormat="1" ht="11.25" customHeight="1" x14ac:dyDescent="0.15">
      <c r="A235" s="123" t="s">
        <v>466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42"/>
        <v>395</v>
      </c>
      <c r="F235" s="125">
        <f>ROUND(E235*Valores!$C$2,2)</f>
        <v>30650.7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10429.75</v>
      </c>
      <c r="N235" s="125">
        <f t="shared" si="33"/>
        <v>0</v>
      </c>
      <c r="O235" s="125">
        <f>Valores!$C$7*B235</f>
        <v>13156.849999999999</v>
      </c>
      <c r="P235" s="125">
        <f>ROUND(IF(B235&lt;15,(Valores!$E$5*B235),Valores!$D$5),2)</f>
        <v>13222.5</v>
      </c>
      <c r="Q235" s="125">
        <v>0</v>
      </c>
      <c r="R235" s="125">
        <f>IF($F$4="NO",IF(Valores!$C$50*B235&gt;Valores!$F$47,Valores!$F$47,Valores!$C$50*B235),IF(Valores!$C$50*B235&gt;Valores!$F$47,Valores!$F$47,Valores!$C$50*B235)/2)</f>
        <v>6930.2999999999993</v>
      </c>
      <c r="S235" s="125">
        <f>Valores!$C$18*B235</f>
        <v>4138</v>
      </c>
      <c r="T235" s="125">
        <f t="shared" si="40"/>
        <v>4138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IF(Valores!$C$99*B235&gt;Valores!$C$98,Valores!$C$98,Valores!$C$99*B235)</f>
        <v>12632.5</v>
      </c>
      <c r="AA235" s="125">
        <f>IF((Valores!$C$28)*B235&gt;Valores!$F$28,Valores!$F$28,(Valores!$C$28)*B235)</f>
        <v>325.09999999999997</v>
      </c>
      <c r="AB235" s="214">
        <v>0</v>
      </c>
      <c r="AC235" s="125">
        <f t="shared" si="34"/>
        <v>0</v>
      </c>
      <c r="AD235" s="125">
        <f>IF(Valores!$C$29*B235&gt;Valores!$F$29,Valores!$F$29,Valores!$C$29*B235)</f>
        <v>270.7</v>
      </c>
      <c r="AE235" s="192">
        <v>0</v>
      </c>
      <c r="AF235" s="125">
        <f>ROUND(AE235*Valores!$C$2,2)</f>
        <v>0</v>
      </c>
      <c r="AG235" s="125">
        <f>IF($F$4="NO",IF(Valores!$D$64*'Escala Docente'!B235&gt;Valores!$F$64,Valores!$F$64,Valores!$D$64*'Escala Docente'!B235),IF(Valores!$D$64*'Escala Docente'!B235&gt;Valores!$F$64,Valores!$F$64,Valores!$D$64*'Escala Docente'!B235)/2)+0.01</f>
        <v>6182.46</v>
      </c>
      <c r="AH235" s="125">
        <f>SUM(F235,H235,J235,L235,M235,N235,O235,P235,Q235,R235,T235,U235,V235,X235,Y235,Z235,AA235,AC235,AD235,AF235,AG235)*Valores!$C$104</f>
        <v>9793.8860000000004</v>
      </c>
      <c r="AI235" s="125">
        <f t="shared" si="37"/>
        <v>107732.746</v>
      </c>
      <c r="AJ235" s="125">
        <f>IF(Valores!$C$33*B235&gt;Valores!$F$33,Valores!$F$33,Valores!$C$33*B235)</f>
        <v>11666.66666666665</v>
      </c>
      <c r="AK235" s="125">
        <v>0</v>
      </c>
      <c r="AL235" s="125">
        <f>IF(Valores!$C$92*B235&gt;Valores!$C$91,Valores!$C$91,Valores!$C$92*B235)</f>
        <v>0</v>
      </c>
      <c r="AM235" s="125">
        <f>IF(Valores!C$40*B235&gt;Valores!F$39,Valores!F$39,Valores!C$40*B235)</f>
        <v>0</v>
      </c>
      <c r="AN235" s="125">
        <f>IF($F$3="NO",0,IF(Valores!$C$63*B235&gt;Valores!$F$63,Valores!$F$63,Valores!$C$63*B235))</f>
        <v>0</v>
      </c>
      <c r="AO235" s="125">
        <f t="shared" si="35"/>
        <v>11666.66666666665</v>
      </c>
      <c r="AP235" s="125">
        <f>AI235*Valores!$C$72</f>
        <v>-11850.602059999999</v>
      </c>
      <c r="AQ235" s="125">
        <f>IF(AI235&lt;Valores!$E$73,-0.02,IF(AI235&lt;Valores!$F$73,-0.03,-0.04))*AI235</f>
        <v>-2154.6549199999999</v>
      </c>
      <c r="AR235" s="125">
        <f>AI235*Valores!$C$75</f>
        <v>-5925.3010299999996</v>
      </c>
      <c r="AS235" s="125">
        <f>Valores!$C$102</f>
        <v>-1270.1600000000001</v>
      </c>
      <c r="AT235" s="125">
        <f>IF($F$5=0,Valores!$C$103,(Valores!$C$103+$F$5*(Valores!$C$103)))</f>
        <v>-3700</v>
      </c>
      <c r="AU235" s="125">
        <f t="shared" si="38"/>
        <v>94498.694656666645</v>
      </c>
      <c r="AV235" s="125">
        <f t="shared" si="32"/>
        <v>-11850.602059999999</v>
      </c>
      <c r="AW235" s="125">
        <f t="shared" si="39"/>
        <v>-2154.6549199999999</v>
      </c>
      <c r="AX235" s="125">
        <f>AI235*Valores!$C$76</f>
        <v>-2908.784142</v>
      </c>
      <c r="AY235" s="125">
        <f>AI235*Valores!$C$77</f>
        <v>-323.198238</v>
      </c>
      <c r="AZ235" s="125">
        <f t="shared" si="36"/>
        <v>102162.17330666663</v>
      </c>
      <c r="BA235" s="125">
        <f>AI235*Valores!$C$79</f>
        <v>17237.23936</v>
      </c>
      <c r="BB235" s="125">
        <f>AI235*Valores!$C$80</f>
        <v>7541.2922200000003</v>
      </c>
      <c r="BC235" s="125">
        <f>AI235*Valores!$C$81</f>
        <v>1077.32746</v>
      </c>
      <c r="BD235" s="125">
        <f>AI235*Valores!$C$83</f>
        <v>3770.6461100000001</v>
      </c>
      <c r="BE235" s="125">
        <f>AI235*Valores!$C$85</f>
        <v>5817.5682839999999</v>
      </c>
      <c r="BF235" s="125">
        <f>AI235*Valores!$C$84</f>
        <v>646.39647600000001</v>
      </c>
      <c r="BG235" s="126"/>
      <c r="BH235" s="126">
        <f t="shared" si="41"/>
        <v>5</v>
      </c>
      <c r="BI235" s="123" t="s">
        <v>4</v>
      </c>
    </row>
    <row r="236" spans="1:61" s="110" customFormat="1" ht="11.25" customHeight="1" x14ac:dyDescent="0.15">
      <c r="A236" s="123" t="s">
        <v>466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42"/>
        <v>395</v>
      </c>
      <c r="F236" s="125">
        <f>ROUND(E236*Valores!$C$2,2)</f>
        <v>30650.7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10429.75</v>
      </c>
      <c r="N236" s="125">
        <f t="shared" si="33"/>
        <v>0</v>
      </c>
      <c r="O236" s="125">
        <f>Valores!$C$7*B236</f>
        <v>13156.849999999999</v>
      </c>
      <c r="P236" s="125">
        <f>ROUND(IF(B236&lt;15,(Valores!$E$5*B236),Valores!$D$5),2)</f>
        <v>13222.5</v>
      </c>
      <c r="Q236" s="125">
        <v>0</v>
      </c>
      <c r="R236" s="125">
        <f>IF($F$4="NO",IF(Valores!$C$50*B236&gt;Valores!$F$47,Valores!$F$47,Valores!$C$50*B236),IF(Valores!$C$50*B236&gt;Valores!$F$47,Valores!$F$47,Valores!$C$50*B236)/2)</f>
        <v>6930.2999999999993</v>
      </c>
      <c r="S236" s="125">
        <f>Valores!$C$18*B236</f>
        <v>4138</v>
      </c>
      <c r="T236" s="125">
        <f t="shared" si="40"/>
        <v>4138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IF(Valores!$C$99*B236&gt;Valores!$C$98,Valores!$C$98,Valores!$C$99*B236)</f>
        <v>12632.5</v>
      </c>
      <c r="AA236" s="125">
        <f>IF((Valores!$C$28)*B236&gt;Valores!$F$28,Valores!$F$28,(Valores!$C$28)*B236)</f>
        <v>325.09999999999997</v>
      </c>
      <c r="AB236" s="214">
        <v>0</v>
      </c>
      <c r="AC236" s="125">
        <f t="shared" si="34"/>
        <v>0</v>
      </c>
      <c r="AD236" s="125">
        <f>IF(Valores!$C$29*B236&gt;Valores!$F$29,Valores!$F$29,Valores!$C$29*B236)</f>
        <v>270.7</v>
      </c>
      <c r="AE236" s="192">
        <v>94</v>
      </c>
      <c r="AF236" s="125">
        <f>ROUND(AE236*Valores!$C$2,2)</f>
        <v>7294.09</v>
      </c>
      <c r="AG236" s="125">
        <f>IF($F$4="NO",IF(Valores!$D$64*'Escala Docente'!B236&gt;Valores!$F$64,Valores!$F$64,Valores!$D$64*'Escala Docente'!B236),IF(Valores!$D$64*'Escala Docente'!B236&gt;Valores!$F$64,Valores!$F$64,Valores!$D$64*'Escala Docente'!B236)/2)+0.01</f>
        <v>6182.46</v>
      </c>
      <c r="AH236" s="125">
        <f>SUM(F236,H236,J236,L236,M236,N236,O236,P236,Q236,R236,T236,U236,V236,X236,Y236,Z236,AA236,AC236,AD236,AF236,AG236)*Valores!$C$104</f>
        <v>10523.295</v>
      </c>
      <c r="AI236" s="125">
        <f t="shared" si="37"/>
        <v>115756.245</v>
      </c>
      <c r="AJ236" s="125">
        <f>IF(Valores!$C$33*B236&gt;Valores!$F$33,Valores!$F$33,Valores!$C$33*B236)</f>
        <v>11666.66666666665</v>
      </c>
      <c r="AK236" s="125">
        <v>0</v>
      </c>
      <c r="AL236" s="125">
        <f>IF(Valores!$C$92*B236&gt;Valores!$C$91,Valores!$C$91,Valores!$C$92*B236)</f>
        <v>0</v>
      </c>
      <c r="AM236" s="125">
        <f>IF(Valores!C$40*B236&gt;Valores!F$39,Valores!F$39,Valores!C$40*B236)</f>
        <v>0</v>
      </c>
      <c r="AN236" s="125">
        <f>IF($F$3="NO",0,IF(Valores!$C$63*B236&gt;Valores!$F$63,Valores!$F$63,Valores!$C$63*B236))</f>
        <v>0</v>
      </c>
      <c r="AO236" s="125">
        <f t="shared" si="35"/>
        <v>11666.66666666665</v>
      </c>
      <c r="AP236" s="125">
        <f>AI236*Valores!$C$72</f>
        <v>-12733.186949999999</v>
      </c>
      <c r="AQ236" s="125">
        <f>IF(AI236&lt;Valores!$E$73,-0.02,IF(AI236&lt;Valores!$F$73,-0.03,-0.04))*AI236</f>
        <v>-2315.1248999999998</v>
      </c>
      <c r="AR236" s="125">
        <f>AI236*Valores!$C$75</f>
        <v>-6366.5934749999997</v>
      </c>
      <c r="AS236" s="125">
        <f>Valores!$C$102</f>
        <v>-1270.1600000000001</v>
      </c>
      <c r="AT236" s="125">
        <f>IF($F$5=0,Valores!$C$103,(Valores!$C$103+$F$5*(Valores!$C$103)))</f>
        <v>-3700</v>
      </c>
      <c r="AU236" s="125">
        <f t="shared" si="38"/>
        <v>101037.84634166665</v>
      </c>
      <c r="AV236" s="125">
        <f t="shared" si="32"/>
        <v>-12733.186949999999</v>
      </c>
      <c r="AW236" s="125">
        <f t="shared" si="39"/>
        <v>-2315.1248999999998</v>
      </c>
      <c r="AX236" s="125">
        <f>AI236*Valores!$C$76</f>
        <v>-3125.418615</v>
      </c>
      <c r="AY236" s="125">
        <f>AI236*Valores!$C$77</f>
        <v>-347.26873499999999</v>
      </c>
      <c r="AZ236" s="125">
        <f t="shared" si="36"/>
        <v>108901.91246666666</v>
      </c>
      <c r="BA236" s="125">
        <f>AI236*Valores!$C$79</f>
        <v>18520.999199999998</v>
      </c>
      <c r="BB236" s="125">
        <f>AI236*Valores!$C$80</f>
        <v>8102.9371500000007</v>
      </c>
      <c r="BC236" s="125">
        <f>AI236*Valores!$C$81</f>
        <v>1157.5624499999999</v>
      </c>
      <c r="BD236" s="125">
        <f>AI236*Valores!$C$83</f>
        <v>4051.4685750000003</v>
      </c>
      <c r="BE236" s="125">
        <f>AI236*Valores!$C$85</f>
        <v>6250.8372300000001</v>
      </c>
      <c r="BF236" s="125">
        <f>AI236*Valores!$C$84</f>
        <v>694.53746999999998</v>
      </c>
      <c r="BG236" s="126"/>
      <c r="BH236" s="126">
        <f t="shared" si="41"/>
        <v>5</v>
      </c>
      <c r="BI236" s="123" t="s">
        <v>4</v>
      </c>
    </row>
    <row r="237" spans="1:61" s="110" customFormat="1" ht="11.25" customHeight="1" x14ac:dyDescent="0.15">
      <c r="A237" s="123" t="s">
        <v>466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42"/>
        <v>474</v>
      </c>
      <c r="F237" s="125">
        <f>ROUND(E237*Valores!$C$2,2)</f>
        <v>36780.839999999997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12515.7</v>
      </c>
      <c r="N237" s="125">
        <f t="shared" si="33"/>
        <v>0</v>
      </c>
      <c r="O237" s="125">
        <f>Valores!$C$7*B237</f>
        <v>15788.22</v>
      </c>
      <c r="P237" s="125">
        <f>ROUND(IF(B237&lt;15,(Valores!$E$5*B237),Valores!$D$5),2)</f>
        <v>15867</v>
      </c>
      <c r="Q237" s="125">
        <v>0</v>
      </c>
      <c r="R237" s="125">
        <f>IF($F$4="NO",IF(Valores!$C$50*B237&gt;Valores!$F$47,Valores!$F$47,Valores!$C$50*B237),IF(Valores!$C$50*B237&gt;Valores!$F$47,Valores!$F$47,Valores!$C$50*B237)/2)</f>
        <v>8316.36</v>
      </c>
      <c r="S237" s="125">
        <f>Valores!$C$18*B237</f>
        <v>4965.6000000000004</v>
      </c>
      <c r="T237" s="125">
        <f t="shared" si="40"/>
        <v>4965.6000000000004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IF(Valores!$C$99*B237&gt;Valores!$C$98,Valores!$C$98,Valores!$C$99*B237)</f>
        <v>15159</v>
      </c>
      <c r="AA237" s="125">
        <f>IF((Valores!$C$28)*B237&gt;Valores!$F$28,Valores!$F$28,(Valores!$C$28)*B237)</f>
        <v>390.12</v>
      </c>
      <c r="AB237" s="214">
        <v>0</v>
      </c>
      <c r="AC237" s="125">
        <f t="shared" si="34"/>
        <v>0</v>
      </c>
      <c r="AD237" s="125">
        <f>IF(Valores!$C$29*B237&gt;Valores!$F$29,Valores!$F$29,Valores!$C$29*B237)</f>
        <v>324.84000000000003</v>
      </c>
      <c r="AE237" s="192">
        <v>0</v>
      </c>
      <c r="AF237" s="125">
        <f>ROUND(AE237*Valores!$C$2,2)</f>
        <v>0</v>
      </c>
      <c r="AG237" s="125">
        <f>IF($F$4="NO",IF(Valores!$D$64*'Escala Docente'!B237&gt;Valores!$F$64,Valores!$F$64,Valores!$D$64*'Escala Docente'!B237),IF(Valores!$D$64*'Escala Docente'!B237&gt;Valores!$F$64,Valores!$F$64,Valores!$D$64*'Escala Docente'!B237)/2)+0.01</f>
        <v>7418.9500000000007</v>
      </c>
      <c r="AH237" s="125">
        <f>SUM(F237,H237,J237,L237,M237,N237,O237,P237,Q237,R237,T237,U237,V237,X237,Y237,Z237,AA237,AC237,AD237,AF237,AG237)*Valores!$C$104</f>
        <v>11752.663</v>
      </c>
      <c r="AI237" s="125">
        <f t="shared" si="37"/>
        <v>129279.29299999999</v>
      </c>
      <c r="AJ237" s="125">
        <f>IF(Valores!$C$33*B237&gt;Valores!$F$33,Valores!$F$33,Valores!$C$33*B237)</f>
        <v>13999.999999999978</v>
      </c>
      <c r="AK237" s="125">
        <v>0</v>
      </c>
      <c r="AL237" s="125">
        <f>IF(Valores!$C$92*B237&gt;Valores!$C$91,Valores!$C$91,Valores!$C$92*B237)</f>
        <v>0</v>
      </c>
      <c r="AM237" s="125">
        <f>IF(Valores!C$40*B237&gt;Valores!F$39,Valores!F$39,Valores!C$40*B237)</f>
        <v>0</v>
      </c>
      <c r="AN237" s="125">
        <f>IF($F$3="NO",0,IF(Valores!$C$63*B237&gt;Valores!$F$63,Valores!$F$63,Valores!$C$63*B237))</f>
        <v>0</v>
      </c>
      <c r="AO237" s="125">
        <f t="shared" si="35"/>
        <v>13999.999999999978</v>
      </c>
      <c r="AP237" s="125">
        <f>AI237*Valores!$C$72</f>
        <v>-14220.722229999999</v>
      </c>
      <c r="AQ237" s="125">
        <f>IF(AI237&lt;Valores!$E$73,-0.02,IF(AI237&lt;Valores!$F$73,-0.03,-0.04))*AI237</f>
        <v>-2585.5858599999997</v>
      </c>
      <c r="AR237" s="125">
        <f>AI237*Valores!$C$75</f>
        <v>-7110.3611149999997</v>
      </c>
      <c r="AS237" s="125">
        <f>Valores!$C$102</f>
        <v>-1270.1600000000001</v>
      </c>
      <c r="AT237" s="125">
        <f>IF($F$5=0,Valores!$C$103,(Valores!$C$103+$F$5*(Valores!$C$103)))</f>
        <v>-3700</v>
      </c>
      <c r="AU237" s="125">
        <f t="shared" si="38"/>
        <v>114392.46379499997</v>
      </c>
      <c r="AV237" s="125">
        <f t="shared" si="32"/>
        <v>-14220.722229999999</v>
      </c>
      <c r="AW237" s="125">
        <f t="shared" si="39"/>
        <v>-2585.5858599999997</v>
      </c>
      <c r="AX237" s="125">
        <f>AI237*Valores!$C$76</f>
        <v>-3490.5409109999996</v>
      </c>
      <c r="AY237" s="125">
        <f>AI237*Valores!$C$77</f>
        <v>-387.83787899999999</v>
      </c>
      <c r="AZ237" s="125">
        <f t="shared" si="36"/>
        <v>122594.60611999998</v>
      </c>
      <c r="BA237" s="125">
        <f>AI237*Valores!$C$79</f>
        <v>20684.686879999997</v>
      </c>
      <c r="BB237" s="125">
        <f>AI237*Valores!$C$80</f>
        <v>9049.5505100000009</v>
      </c>
      <c r="BC237" s="125">
        <f>AI237*Valores!$C$81</f>
        <v>1292.7929299999998</v>
      </c>
      <c r="BD237" s="125">
        <f>AI237*Valores!$C$83</f>
        <v>4524.7752550000005</v>
      </c>
      <c r="BE237" s="125">
        <f>AI237*Valores!$C$85</f>
        <v>6981.0818219999992</v>
      </c>
      <c r="BF237" s="125">
        <f>AI237*Valores!$C$84</f>
        <v>775.67575799999997</v>
      </c>
      <c r="BG237" s="126"/>
      <c r="BH237" s="126">
        <f t="shared" si="41"/>
        <v>6</v>
      </c>
      <c r="BI237" s="123" t="s">
        <v>4</v>
      </c>
    </row>
    <row r="238" spans="1:61" s="110" customFormat="1" ht="11.25" customHeight="1" x14ac:dyDescent="0.15">
      <c r="A238" s="123" t="s">
        <v>466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42"/>
        <v>474</v>
      </c>
      <c r="F238" s="125">
        <f>ROUND(E238*Valores!$C$2,2)</f>
        <v>36780.839999999997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12515.7</v>
      </c>
      <c r="N238" s="125">
        <f t="shared" si="33"/>
        <v>0</v>
      </c>
      <c r="O238" s="125">
        <f>Valores!$C$7*B238</f>
        <v>15788.22</v>
      </c>
      <c r="P238" s="125">
        <f>ROUND(IF(B238&lt;15,(Valores!$E$5*B238),Valores!$D$5),2)</f>
        <v>15867</v>
      </c>
      <c r="Q238" s="125">
        <v>0</v>
      </c>
      <c r="R238" s="125">
        <f>IF($F$4="NO",IF(Valores!$C$50*B238&gt;Valores!$F$47,Valores!$F$47,Valores!$C$50*B238),IF(Valores!$C$50*B238&gt;Valores!$F$47,Valores!$F$47,Valores!$C$50*B238)/2)</f>
        <v>8316.36</v>
      </c>
      <c r="S238" s="125">
        <f>Valores!$C$18*B238</f>
        <v>4965.6000000000004</v>
      </c>
      <c r="T238" s="125">
        <f t="shared" si="40"/>
        <v>4965.6000000000004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IF(Valores!$C$99*B238&gt;Valores!$C$98,Valores!$C$98,Valores!$C$99*B238)</f>
        <v>15159</v>
      </c>
      <c r="AA238" s="125">
        <f>IF((Valores!$C$28)*B238&gt;Valores!$F$28,Valores!$F$28,(Valores!$C$28)*B238)</f>
        <v>390.12</v>
      </c>
      <c r="AB238" s="214">
        <v>0</v>
      </c>
      <c r="AC238" s="125">
        <f t="shared" si="34"/>
        <v>0</v>
      </c>
      <c r="AD238" s="125">
        <f>IF(Valores!$C$29*B238&gt;Valores!$F$29,Valores!$F$29,Valores!$C$29*B238)</f>
        <v>324.84000000000003</v>
      </c>
      <c r="AE238" s="192">
        <v>94</v>
      </c>
      <c r="AF238" s="125">
        <f>ROUND(AE238*Valores!$C$2,2)</f>
        <v>7294.09</v>
      </c>
      <c r="AG238" s="125">
        <f>IF($F$4="NO",IF(Valores!$D$64*'Escala Docente'!B238&gt;Valores!$F$64,Valores!$F$64,Valores!$D$64*'Escala Docente'!B238),IF(Valores!$D$64*'Escala Docente'!B238&gt;Valores!$F$64,Valores!$F$64,Valores!$D$64*'Escala Docente'!B238)/2)+0.01</f>
        <v>7418.9500000000007</v>
      </c>
      <c r="AH238" s="125">
        <f>SUM(F238,H238,J238,L238,M238,N238,O238,P238,Q238,R238,T238,U238,V238,X238,Y238,Z238,AA238,AC238,AD238,AF238,AG238)*Valores!$C$104</f>
        <v>12482.072</v>
      </c>
      <c r="AI238" s="125">
        <f t="shared" si="37"/>
        <v>137302.79199999999</v>
      </c>
      <c r="AJ238" s="125">
        <f>IF(Valores!$C$33*B238&gt;Valores!$F$33,Valores!$F$33,Valores!$C$33*B238)</f>
        <v>13999.999999999978</v>
      </c>
      <c r="AK238" s="125">
        <v>0</v>
      </c>
      <c r="AL238" s="125">
        <f>IF(Valores!$C$92*B238&gt;Valores!$C$91,Valores!$C$91,Valores!$C$92*B238)</f>
        <v>0</v>
      </c>
      <c r="AM238" s="125">
        <f>IF(Valores!C$40*B238&gt;Valores!F$39,Valores!F$39,Valores!C$40*B238)</f>
        <v>0</v>
      </c>
      <c r="AN238" s="125">
        <f>IF($F$3="NO",0,IF(Valores!$C$63*B238&gt;Valores!$F$63,Valores!$F$63,Valores!$C$63*B238))</f>
        <v>0</v>
      </c>
      <c r="AO238" s="125">
        <f t="shared" si="35"/>
        <v>13999.999999999978</v>
      </c>
      <c r="AP238" s="125">
        <f>AI238*Valores!$C$72</f>
        <v>-15103.307119999999</v>
      </c>
      <c r="AQ238" s="125">
        <f>IF(AI238&lt;Valores!$E$73,-0.02,IF(AI238&lt;Valores!$F$73,-0.03,-0.04))*AI238</f>
        <v>-2746.05584</v>
      </c>
      <c r="AR238" s="125">
        <f>AI238*Valores!$C$75</f>
        <v>-7551.6535599999997</v>
      </c>
      <c r="AS238" s="125">
        <f>Valores!$C$102</f>
        <v>-1270.1600000000001</v>
      </c>
      <c r="AT238" s="125">
        <f>IF($F$5=0,Valores!$C$103,(Valores!$C$103+$F$5*(Valores!$C$103)))</f>
        <v>-3700</v>
      </c>
      <c r="AU238" s="125">
        <f t="shared" si="38"/>
        <v>120931.61547999996</v>
      </c>
      <c r="AV238" s="125">
        <f t="shared" si="32"/>
        <v>-15103.307119999999</v>
      </c>
      <c r="AW238" s="125">
        <f t="shared" si="39"/>
        <v>-2746.05584</v>
      </c>
      <c r="AX238" s="125">
        <f>AI238*Valores!$C$76</f>
        <v>-3707.1753839999997</v>
      </c>
      <c r="AY238" s="125">
        <f>AI238*Valores!$C$77</f>
        <v>-411.90837599999998</v>
      </c>
      <c r="AZ238" s="125">
        <f t="shared" si="36"/>
        <v>129334.34527999996</v>
      </c>
      <c r="BA238" s="125">
        <f>AI238*Valores!$C$79</f>
        <v>21968.44672</v>
      </c>
      <c r="BB238" s="125">
        <f>AI238*Valores!$C$80</f>
        <v>9611.1954399999995</v>
      </c>
      <c r="BC238" s="125">
        <f>AI238*Valores!$C$81</f>
        <v>1373.02792</v>
      </c>
      <c r="BD238" s="125">
        <f>AI238*Valores!$C$83</f>
        <v>4805.5977199999998</v>
      </c>
      <c r="BE238" s="125">
        <f>AI238*Valores!$C$85</f>
        <v>7414.3507679999993</v>
      </c>
      <c r="BF238" s="125">
        <f>AI238*Valores!$C$84</f>
        <v>823.81675199999995</v>
      </c>
      <c r="BG238" s="126"/>
      <c r="BH238" s="126">
        <f t="shared" si="41"/>
        <v>6</v>
      </c>
      <c r="BI238" s="123" t="s">
        <v>4</v>
      </c>
    </row>
    <row r="239" spans="1:61" s="110" customFormat="1" ht="11.25" customHeight="1" x14ac:dyDescent="0.15">
      <c r="A239" s="123" t="s">
        <v>466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42"/>
        <v>553</v>
      </c>
      <c r="F239" s="125">
        <f>ROUND(E239*Valores!$C$2,2)</f>
        <v>42910.98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14601.65</v>
      </c>
      <c r="N239" s="125">
        <f t="shared" si="33"/>
        <v>0</v>
      </c>
      <c r="O239" s="125">
        <f>Valores!$C$7*B239</f>
        <v>18419.59</v>
      </c>
      <c r="P239" s="125">
        <f>ROUND(IF(B239&lt;15,(Valores!$E$5*B239),Valores!$D$5),2)</f>
        <v>18511.5</v>
      </c>
      <c r="Q239" s="125">
        <v>0</v>
      </c>
      <c r="R239" s="125">
        <f>IF($F$4="NO",IF(Valores!$C$50*B239&gt;Valores!$F$47,Valores!$F$47,Valores!$C$50*B239),IF(Valores!$C$50*B239&gt;Valores!$F$47,Valores!$F$47,Valores!$C$50*B239)/2)</f>
        <v>9702.42</v>
      </c>
      <c r="S239" s="125">
        <f>Valores!$C$18*B239</f>
        <v>5793.2</v>
      </c>
      <c r="T239" s="125">
        <f t="shared" si="40"/>
        <v>5793.2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IF(Valores!$C$99*B239&gt;Valores!$C$98,Valores!$C$98,Valores!$C$99*B239)</f>
        <v>17685.5</v>
      </c>
      <c r="AA239" s="125">
        <f>IF((Valores!$C$28)*B239&gt;Valores!$F$28,Valores!$F$28,(Valores!$C$28)*B239)</f>
        <v>455.14</v>
      </c>
      <c r="AB239" s="214">
        <v>0</v>
      </c>
      <c r="AC239" s="125">
        <f t="shared" si="34"/>
        <v>0</v>
      </c>
      <c r="AD239" s="125">
        <f>IF(Valores!$C$29*B239&gt;Valores!$F$29,Valores!$F$29,Valores!$C$29*B239)</f>
        <v>378.98</v>
      </c>
      <c r="AE239" s="192">
        <v>0</v>
      </c>
      <c r="AF239" s="125">
        <f>ROUND(AE239*Valores!$C$2,2)</f>
        <v>0</v>
      </c>
      <c r="AG239" s="125">
        <f>IF($F$4="NO",IF(Valores!$D$64*'Escala Docente'!B239&gt;Valores!$F$64,Valores!$F$64,Valores!$D$64*'Escala Docente'!B239),IF(Valores!$D$64*'Escala Docente'!B239&gt;Valores!$F$64,Valores!$F$64,Valores!$D$64*'Escala Docente'!B239)/2)+0.01</f>
        <v>8655.44</v>
      </c>
      <c r="AH239" s="125">
        <f>SUM(F239,H239,J239,L239,M239,N239,O239,P239,Q239,R239,T239,U239,V239,X239,Y239,Z239,AA239,AC239,AD239,AF239,AG239)*Valores!$C$104</f>
        <v>13711.44</v>
      </c>
      <c r="AI239" s="125">
        <f t="shared" si="37"/>
        <v>150825.84</v>
      </c>
      <c r="AJ239" s="125">
        <f>IF(Valores!$C$33*B239&gt;Valores!$F$33,Valores!$F$33,Valores!$C$33*B239)</f>
        <v>16333.333333333308</v>
      </c>
      <c r="AK239" s="125">
        <v>0</v>
      </c>
      <c r="AL239" s="125">
        <f>IF(Valores!$C$92*B239&gt;Valores!$C$91,Valores!$C$91,Valores!$C$92*B239)</f>
        <v>0</v>
      </c>
      <c r="AM239" s="125">
        <f>IF(Valores!C$40*B239&gt;Valores!F$39,Valores!F$39,Valores!C$40*B239)</f>
        <v>0</v>
      </c>
      <c r="AN239" s="125">
        <f>IF($F$3="NO",0,IF(Valores!$C$63*B239&gt;Valores!$F$63,Valores!$F$63,Valores!$C$63*B239))</f>
        <v>0</v>
      </c>
      <c r="AO239" s="125">
        <f t="shared" si="35"/>
        <v>16333.333333333308</v>
      </c>
      <c r="AP239" s="125">
        <f>AI239*Valores!$C$72</f>
        <v>-16590.842400000001</v>
      </c>
      <c r="AQ239" s="125">
        <f>IF(AI239&lt;Valores!$E$73,-0.02,IF(AI239&lt;Valores!$F$73,-0.03,-0.04))*AI239</f>
        <v>-3016.5167999999999</v>
      </c>
      <c r="AR239" s="125">
        <f>AI239*Valores!$C$75</f>
        <v>-8295.4212000000007</v>
      </c>
      <c r="AS239" s="125">
        <f>Valores!$C$102</f>
        <v>-1270.1600000000001</v>
      </c>
      <c r="AT239" s="125">
        <f>IF($F$5=0,Valores!$C$103,(Valores!$C$103+$F$5*(Valores!$C$103)))</f>
        <v>-3700</v>
      </c>
      <c r="AU239" s="125">
        <f t="shared" si="38"/>
        <v>134286.23293333332</v>
      </c>
      <c r="AV239" s="125">
        <f t="shared" si="32"/>
        <v>-16590.842400000001</v>
      </c>
      <c r="AW239" s="125">
        <f t="shared" si="39"/>
        <v>-3016.5167999999999</v>
      </c>
      <c r="AX239" s="125">
        <f>AI239*Valores!$C$76</f>
        <v>-4072.2976799999997</v>
      </c>
      <c r="AY239" s="125">
        <f>AI239*Valores!$C$77</f>
        <v>-452.47752000000003</v>
      </c>
      <c r="AZ239" s="125">
        <f t="shared" si="36"/>
        <v>143027.0389333333</v>
      </c>
      <c r="BA239" s="125">
        <f>AI239*Valores!$C$79</f>
        <v>24132.134399999999</v>
      </c>
      <c r="BB239" s="125">
        <f>AI239*Valores!$C$80</f>
        <v>10557.808800000001</v>
      </c>
      <c r="BC239" s="125">
        <f>AI239*Valores!$C$81</f>
        <v>1508.2583999999999</v>
      </c>
      <c r="BD239" s="125">
        <f>AI239*Valores!$C$83</f>
        <v>5278.9044000000004</v>
      </c>
      <c r="BE239" s="125">
        <f>AI239*Valores!$C$85</f>
        <v>8144.5953599999993</v>
      </c>
      <c r="BF239" s="125">
        <f>AI239*Valores!$C$84</f>
        <v>904.95504000000005</v>
      </c>
      <c r="BG239" s="126"/>
      <c r="BH239" s="126">
        <f t="shared" si="41"/>
        <v>7</v>
      </c>
      <c r="BI239" s="123" t="s">
        <v>4</v>
      </c>
    </row>
    <row r="240" spans="1:61" s="110" customFormat="1" ht="11.25" customHeight="1" x14ac:dyDescent="0.15">
      <c r="A240" s="123" t="s">
        <v>466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42"/>
        <v>553</v>
      </c>
      <c r="F240" s="125">
        <f>ROUND(E240*Valores!$C$2,2)</f>
        <v>42910.98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14601.65</v>
      </c>
      <c r="N240" s="125">
        <f t="shared" si="33"/>
        <v>0</v>
      </c>
      <c r="O240" s="125">
        <f>Valores!$C$7*B240</f>
        <v>18419.59</v>
      </c>
      <c r="P240" s="125">
        <f>ROUND(IF(B240&lt;15,(Valores!$E$5*B240),Valores!$D$5),2)</f>
        <v>18511.5</v>
      </c>
      <c r="Q240" s="125">
        <v>0</v>
      </c>
      <c r="R240" s="125">
        <f>IF($F$4="NO",IF(Valores!$C$50*B240&gt;Valores!$F$47,Valores!$F$47,Valores!$C$50*B240),IF(Valores!$C$50*B240&gt;Valores!$F$47,Valores!$F$47,Valores!$C$50*B240)/2)</f>
        <v>9702.42</v>
      </c>
      <c r="S240" s="125">
        <f>Valores!$C$18*B240</f>
        <v>5793.2</v>
      </c>
      <c r="T240" s="125">
        <f t="shared" si="40"/>
        <v>5793.2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IF(Valores!$C$99*B240&gt;Valores!$C$98,Valores!$C$98,Valores!$C$99*B240)</f>
        <v>17685.5</v>
      </c>
      <c r="AA240" s="125">
        <f>IF((Valores!$C$28)*B240&gt;Valores!$F$28,Valores!$F$28,(Valores!$C$28)*B240)</f>
        <v>455.14</v>
      </c>
      <c r="AB240" s="214">
        <v>0</v>
      </c>
      <c r="AC240" s="125">
        <f t="shared" si="34"/>
        <v>0</v>
      </c>
      <c r="AD240" s="125">
        <f>IF(Valores!$C$29*B240&gt;Valores!$F$29,Valores!$F$29,Valores!$C$29*B240)</f>
        <v>378.98</v>
      </c>
      <c r="AE240" s="192">
        <v>94</v>
      </c>
      <c r="AF240" s="125">
        <f>ROUND(AE240*Valores!$C$2,2)</f>
        <v>7294.09</v>
      </c>
      <c r="AG240" s="125">
        <f>IF($F$4="NO",IF(Valores!$D$64*'Escala Docente'!B240&gt;Valores!$F$64,Valores!$F$64,Valores!$D$64*'Escala Docente'!B240),IF(Valores!$D$64*'Escala Docente'!B240&gt;Valores!$F$64,Valores!$F$64,Valores!$D$64*'Escala Docente'!B240)/2)+0.01</f>
        <v>8655.44</v>
      </c>
      <c r="AH240" s="125">
        <f>SUM(F240,H240,J240,L240,M240,N240,O240,P240,Q240,R240,T240,U240,V240,X240,Y240,Z240,AA240,AC240,AD240,AF240,AG240)*Valores!$C$104</f>
        <v>14440.849</v>
      </c>
      <c r="AI240" s="125">
        <f t="shared" si="37"/>
        <v>158849.33899999998</v>
      </c>
      <c r="AJ240" s="125">
        <f>IF(Valores!$C$33*B240&gt;Valores!$F$33,Valores!$F$33,Valores!$C$33*B240)</f>
        <v>16333.333333333308</v>
      </c>
      <c r="AK240" s="125">
        <v>0</v>
      </c>
      <c r="AL240" s="125">
        <f>IF(Valores!$C$92*B240&gt;Valores!$C$91,Valores!$C$91,Valores!$C$92*B240)</f>
        <v>0</v>
      </c>
      <c r="AM240" s="125">
        <f>IF(Valores!C$40*B240&gt;Valores!F$39,Valores!F$39,Valores!C$40*B240)</f>
        <v>0</v>
      </c>
      <c r="AN240" s="125">
        <f>IF($F$3="NO",0,IF(Valores!$C$63*B240&gt;Valores!$F$63,Valores!$F$63,Valores!$C$63*B240))</f>
        <v>0</v>
      </c>
      <c r="AO240" s="125">
        <f t="shared" si="35"/>
        <v>16333.333333333308</v>
      </c>
      <c r="AP240" s="125">
        <f>AI240*Valores!$C$72</f>
        <v>-17473.427289999996</v>
      </c>
      <c r="AQ240" s="125">
        <f>IF(AI240&lt;Valores!$E$73,-0.02,IF(AI240&lt;Valores!$F$73,-0.03,-0.04))*AI240</f>
        <v>-3176.9867799999997</v>
      </c>
      <c r="AR240" s="125">
        <f>AI240*Valores!$C$75</f>
        <v>-8736.713644999998</v>
      </c>
      <c r="AS240" s="125">
        <f>Valores!$C$102</f>
        <v>-1270.1600000000001</v>
      </c>
      <c r="AT240" s="125">
        <f>IF($F$5=0,Valores!$C$103,(Valores!$C$103+$F$5*(Valores!$C$103)))</f>
        <v>-3700</v>
      </c>
      <c r="AU240" s="125">
        <f t="shared" si="38"/>
        <v>140825.38461833331</v>
      </c>
      <c r="AV240" s="125">
        <f t="shared" si="32"/>
        <v>-17473.427289999996</v>
      </c>
      <c r="AW240" s="125">
        <f t="shared" si="39"/>
        <v>-3176.9867799999997</v>
      </c>
      <c r="AX240" s="125">
        <f>AI240*Valores!$C$76</f>
        <v>-4288.9321529999997</v>
      </c>
      <c r="AY240" s="125">
        <f>AI240*Valores!$C$77</f>
        <v>-476.54801699999996</v>
      </c>
      <c r="AZ240" s="125">
        <f t="shared" si="36"/>
        <v>149766.7780933333</v>
      </c>
      <c r="BA240" s="125">
        <f>AI240*Valores!$C$79</f>
        <v>25415.894239999998</v>
      </c>
      <c r="BB240" s="125">
        <f>AI240*Valores!$C$80</f>
        <v>11119.453729999999</v>
      </c>
      <c r="BC240" s="125">
        <f>AI240*Valores!$C$81</f>
        <v>1588.4933899999999</v>
      </c>
      <c r="BD240" s="125">
        <f>AI240*Valores!$C$83</f>
        <v>5559.7268649999996</v>
      </c>
      <c r="BE240" s="125">
        <f>AI240*Valores!$C$85</f>
        <v>8577.8643059999995</v>
      </c>
      <c r="BF240" s="125">
        <f>AI240*Valores!$C$84</f>
        <v>953.09603399999992</v>
      </c>
      <c r="BG240" s="126"/>
      <c r="BH240" s="126">
        <f t="shared" si="41"/>
        <v>7</v>
      </c>
      <c r="BI240" s="123" t="s">
        <v>4</v>
      </c>
    </row>
    <row r="241" spans="1:61" s="110" customFormat="1" ht="11.25" customHeight="1" x14ac:dyDescent="0.15">
      <c r="A241" s="123" t="s">
        <v>466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42"/>
        <v>632</v>
      </c>
      <c r="F241" s="125">
        <f>ROUND(E241*Valores!$C$2,2)</f>
        <v>49041.11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16687.599999999999</v>
      </c>
      <c r="N241" s="125">
        <f t="shared" si="33"/>
        <v>0</v>
      </c>
      <c r="O241" s="125">
        <f>Valores!$C$7*B241</f>
        <v>21050.959999999999</v>
      </c>
      <c r="P241" s="125">
        <f>ROUND(IF(B241&lt;15,(Valores!$E$5*B241),Valores!$D$5),2)</f>
        <v>21156</v>
      </c>
      <c r="Q241" s="125">
        <v>0</v>
      </c>
      <c r="R241" s="125">
        <f>IF($F$4="NO",IF(Valores!$C$50*B241&gt;Valores!$F$47,Valores!$F$47,Valores!$C$50*B241),IF(Valores!$C$50*B241&gt;Valores!$F$47,Valores!$F$47,Valores!$C$50*B241)/2)</f>
        <v>11088.48</v>
      </c>
      <c r="S241" s="125">
        <f>Valores!$C$18*B241</f>
        <v>6620.8</v>
      </c>
      <c r="T241" s="125">
        <f t="shared" si="40"/>
        <v>6620.8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IF(Valores!$C$99*B241&gt;Valores!$C$98,Valores!$C$98,Valores!$C$99*B241)</f>
        <v>20212</v>
      </c>
      <c r="AA241" s="125">
        <f>IF((Valores!$C$28)*B241&gt;Valores!$F$28,Valores!$F$28,(Valores!$C$28)*B241)</f>
        <v>520.16</v>
      </c>
      <c r="AB241" s="214">
        <v>0</v>
      </c>
      <c r="AC241" s="125">
        <f t="shared" si="34"/>
        <v>0</v>
      </c>
      <c r="AD241" s="125">
        <f>IF(Valores!$C$29*B241&gt;Valores!$F$29,Valores!$F$29,Valores!$C$29*B241)</f>
        <v>433.12</v>
      </c>
      <c r="AE241" s="192">
        <v>0</v>
      </c>
      <c r="AF241" s="125">
        <f>ROUND(AE241*Valores!$C$2,2)</f>
        <v>0</v>
      </c>
      <c r="AG241" s="125">
        <f>IF($F$4="NO",IF(Valores!$D$64*'Escala Docente'!B241&gt;Valores!$F$64,Valores!$F$64,Valores!$D$64*'Escala Docente'!B241),IF(Valores!$D$64*'Escala Docente'!B241&gt;Valores!$F$64,Valores!$F$64,Valores!$D$64*'Escala Docente'!B241)/2)+0.02</f>
        <v>9891.94</v>
      </c>
      <c r="AH241" s="125">
        <f>SUM(F241,H241,J241,L241,M241,N241,O241,P241,Q241,R241,T241,U241,V241,X241,Y241,Z241,AA241,AC241,AD241,AF241,AG241)*Valores!$C$104</f>
        <v>15670.216999999999</v>
      </c>
      <c r="AI241" s="125">
        <f t="shared" si="37"/>
        <v>172372.38699999999</v>
      </c>
      <c r="AJ241" s="125">
        <f>IF(Valores!$C$33*B241&gt;Valores!$F$33,Valores!$F$33,Valores!$C$33*B241)</f>
        <v>18666.666666666639</v>
      </c>
      <c r="AK241" s="125">
        <v>0</v>
      </c>
      <c r="AL241" s="125">
        <f>IF(Valores!$C$92*B241&gt;Valores!$C$91,Valores!$C$91,Valores!$C$92*B241)</f>
        <v>0</v>
      </c>
      <c r="AM241" s="125">
        <f>IF(Valores!C$40*B241&gt;Valores!F$39,Valores!F$39,Valores!C$40*B241)</f>
        <v>0</v>
      </c>
      <c r="AN241" s="125">
        <f>IF($F$3="NO",0,IF(Valores!$C$63*B241&gt;Valores!$F$63,Valores!$F$63,Valores!$C$63*B241))</f>
        <v>0</v>
      </c>
      <c r="AO241" s="125">
        <f t="shared" si="35"/>
        <v>18666.666666666639</v>
      </c>
      <c r="AP241" s="125">
        <f>AI241*Valores!$C$72</f>
        <v>-18960.96257</v>
      </c>
      <c r="AQ241" s="125">
        <f>IF(AI241&lt;Valores!$E$73,-0.02,IF(AI241&lt;Valores!$F$73,-0.03,-0.04))*AI241</f>
        <v>-3447.4477399999996</v>
      </c>
      <c r="AR241" s="125">
        <f>AI241*Valores!$C$75</f>
        <v>-9480.4812849999998</v>
      </c>
      <c r="AS241" s="125">
        <f>Valores!$C$102</f>
        <v>-1270.1600000000001</v>
      </c>
      <c r="AT241" s="125">
        <f>IF($F$5=0,Valores!$C$103,(Valores!$C$103+$F$5*(Valores!$C$103)))</f>
        <v>-3700</v>
      </c>
      <c r="AU241" s="125">
        <f t="shared" si="38"/>
        <v>154180.00207166662</v>
      </c>
      <c r="AV241" s="125">
        <f t="shared" si="32"/>
        <v>-18960.96257</v>
      </c>
      <c r="AW241" s="125">
        <f t="shared" si="39"/>
        <v>-3447.4477399999996</v>
      </c>
      <c r="AX241" s="125">
        <f>AI241*Valores!$C$76</f>
        <v>-4654.0544489999993</v>
      </c>
      <c r="AY241" s="125">
        <f>AI241*Valores!$C$77</f>
        <v>-517.11716100000001</v>
      </c>
      <c r="AZ241" s="125">
        <f t="shared" si="36"/>
        <v>163459.47174666662</v>
      </c>
      <c r="BA241" s="125">
        <f>AI241*Valores!$C$79</f>
        <v>27579.581919999997</v>
      </c>
      <c r="BB241" s="125">
        <f>AI241*Valores!$C$80</f>
        <v>12066.06709</v>
      </c>
      <c r="BC241" s="125">
        <f>AI241*Valores!$C$81</f>
        <v>1723.7238699999998</v>
      </c>
      <c r="BD241" s="125">
        <f>AI241*Valores!$C$83</f>
        <v>6033.0335450000002</v>
      </c>
      <c r="BE241" s="125">
        <f>AI241*Valores!$C$85</f>
        <v>9308.1088979999986</v>
      </c>
      <c r="BF241" s="125">
        <f>AI241*Valores!$C$84</f>
        <v>1034.234322</v>
      </c>
      <c r="BG241" s="126"/>
      <c r="BH241" s="126">
        <f t="shared" si="41"/>
        <v>8</v>
      </c>
      <c r="BI241" s="123" t="s">
        <v>4</v>
      </c>
    </row>
    <row r="242" spans="1:61" s="110" customFormat="1" ht="11.25" customHeight="1" x14ac:dyDescent="0.15">
      <c r="A242" s="123" t="s">
        <v>466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42"/>
        <v>632</v>
      </c>
      <c r="F242" s="125">
        <f>ROUND(E242*Valores!$C$2,2)</f>
        <v>49041.11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16687.599999999999</v>
      </c>
      <c r="N242" s="125">
        <f t="shared" si="33"/>
        <v>0</v>
      </c>
      <c r="O242" s="125">
        <f>Valores!$C$7*B242</f>
        <v>21050.959999999999</v>
      </c>
      <c r="P242" s="125">
        <f>ROUND(IF(B242&lt;15,(Valores!$E$5*B242),Valores!$D$5),2)</f>
        <v>21156</v>
      </c>
      <c r="Q242" s="125">
        <v>0</v>
      </c>
      <c r="R242" s="125">
        <f>IF($F$4="NO",IF(Valores!$C$50*B242&gt;Valores!$F$47,Valores!$F$47,Valores!$C$50*B242),IF(Valores!$C$50*B242&gt;Valores!$F$47,Valores!$F$47,Valores!$C$50*B242)/2)</f>
        <v>11088.48</v>
      </c>
      <c r="S242" s="125">
        <f>Valores!$C$18*B242</f>
        <v>6620.8</v>
      </c>
      <c r="T242" s="125">
        <f t="shared" si="40"/>
        <v>6620.8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IF(Valores!$C$99*B242&gt;Valores!$C$98,Valores!$C$98,Valores!$C$99*B242)</f>
        <v>20212</v>
      </c>
      <c r="AA242" s="125">
        <f>IF((Valores!$C$28)*B242&gt;Valores!$F$28,Valores!$F$28,(Valores!$C$28)*B242)</f>
        <v>520.16</v>
      </c>
      <c r="AB242" s="214">
        <v>0</v>
      </c>
      <c r="AC242" s="125">
        <f t="shared" si="34"/>
        <v>0</v>
      </c>
      <c r="AD242" s="125">
        <f>IF(Valores!$C$29*B242&gt;Valores!$F$29,Valores!$F$29,Valores!$C$29*B242)</f>
        <v>433.12</v>
      </c>
      <c r="AE242" s="192">
        <v>94</v>
      </c>
      <c r="AF242" s="125">
        <f>ROUND(AE242*Valores!$C$2,2)</f>
        <v>7294.09</v>
      </c>
      <c r="AG242" s="125">
        <f>IF($F$4="NO",IF(Valores!$D$64*'Escala Docente'!B242&gt;Valores!$F$64,Valores!$F$64,Valores!$D$64*'Escala Docente'!B242),IF(Valores!$D$64*'Escala Docente'!B242&gt;Valores!$F$64,Valores!$F$64,Valores!$D$64*'Escala Docente'!B242)/2)+0.02</f>
        <v>9891.94</v>
      </c>
      <c r="AH242" s="125">
        <f>SUM(F242,H242,J242,L242,M242,N242,O242,P242,Q242,R242,T242,U242,V242,X242,Y242,Z242,AA242,AC242,AD242,AF242,AG242)*Valores!$C$104</f>
        <v>16399.626</v>
      </c>
      <c r="AI242" s="125">
        <f t="shared" si="37"/>
        <v>180395.88599999997</v>
      </c>
      <c r="AJ242" s="125">
        <f>IF(Valores!$C$33*B242&gt;Valores!$F$33,Valores!$F$33,Valores!$C$33*B242)</f>
        <v>18666.666666666639</v>
      </c>
      <c r="AK242" s="125">
        <v>0</v>
      </c>
      <c r="AL242" s="125">
        <f>IF(Valores!$C$92*B242&gt;Valores!$C$91,Valores!$C$91,Valores!$C$92*B242)</f>
        <v>0</v>
      </c>
      <c r="AM242" s="125">
        <f>IF(Valores!C$40*B242&gt;Valores!F$39,Valores!F$39,Valores!C$40*B242)</f>
        <v>0</v>
      </c>
      <c r="AN242" s="125">
        <f>IF($F$3="NO",0,IF(Valores!$C$63*B242&gt;Valores!$F$63,Valores!$F$63,Valores!$C$63*B242))</f>
        <v>0</v>
      </c>
      <c r="AO242" s="125">
        <f t="shared" si="35"/>
        <v>18666.666666666639</v>
      </c>
      <c r="AP242" s="125">
        <f>AI242*Valores!$C$72</f>
        <v>-19843.547459999998</v>
      </c>
      <c r="AQ242" s="125">
        <f>IF(AI242&lt;Valores!$E$73,-0.02,IF(AI242&lt;Valores!$F$73,-0.03,-0.04))*AI242</f>
        <v>-3607.9177199999995</v>
      </c>
      <c r="AR242" s="125">
        <f>AI242*Valores!$C$75</f>
        <v>-9921.773729999999</v>
      </c>
      <c r="AS242" s="125">
        <f>Valores!$C$102</f>
        <v>-1270.1600000000001</v>
      </c>
      <c r="AT242" s="125">
        <f>IF($F$5=0,Valores!$C$103,(Valores!$C$103+$F$5*(Valores!$C$103)))</f>
        <v>-3700</v>
      </c>
      <c r="AU242" s="125">
        <f t="shared" si="38"/>
        <v>160719.15375666661</v>
      </c>
      <c r="AV242" s="125">
        <f t="shared" si="32"/>
        <v>-19843.547459999998</v>
      </c>
      <c r="AW242" s="125">
        <f t="shared" si="39"/>
        <v>-3607.9177199999995</v>
      </c>
      <c r="AX242" s="125">
        <f>AI242*Valores!$C$76</f>
        <v>-4870.6889219999994</v>
      </c>
      <c r="AY242" s="125">
        <f>AI242*Valores!$C$77</f>
        <v>-541.18765799999994</v>
      </c>
      <c r="AZ242" s="125">
        <f t="shared" si="36"/>
        <v>170199.21090666659</v>
      </c>
      <c r="BA242" s="125">
        <f>AI242*Valores!$C$79</f>
        <v>28863.341759999996</v>
      </c>
      <c r="BB242" s="125">
        <f>AI242*Valores!$C$80</f>
        <v>12627.712019999999</v>
      </c>
      <c r="BC242" s="125">
        <f>AI242*Valores!$C$81</f>
        <v>1803.9588599999997</v>
      </c>
      <c r="BD242" s="125">
        <f>AI242*Valores!$C$83</f>
        <v>6313.8560099999995</v>
      </c>
      <c r="BE242" s="125">
        <f>AI242*Valores!$C$85</f>
        <v>9741.3778439999987</v>
      </c>
      <c r="BF242" s="125">
        <f>AI242*Valores!$C$84</f>
        <v>1082.3753159999999</v>
      </c>
      <c r="BG242" s="126"/>
      <c r="BH242" s="126">
        <f t="shared" si="41"/>
        <v>8</v>
      </c>
      <c r="BI242" s="123" t="s">
        <v>4</v>
      </c>
    </row>
    <row r="243" spans="1:61" s="110" customFormat="1" ht="11.25" customHeight="1" x14ac:dyDescent="0.15">
      <c r="A243" s="123" t="s">
        <v>466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42"/>
        <v>711</v>
      </c>
      <c r="F243" s="125">
        <f>ROUND(E243*Valores!$C$2,2)</f>
        <v>55171.25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18773.55</v>
      </c>
      <c r="N243" s="125">
        <f t="shared" si="33"/>
        <v>0</v>
      </c>
      <c r="O243" s="125">
        <f>Valores!$C$7*B243</f>
        <v>23682.329999999998</v>
      </c>
      <c r="P243" s="125">
        <f>ROUND(IF(B243&lt;15,(Valores!$E$5*B243),Valores!$D$5),2)</f>
        <v>23800.5</v>
      </c>
      <c r="Q243" s="125">
        <v>0</v>
      </c>
      <c r="R243" s="125">
        <f>IF($F$4="NO",IF(Valores!$C$50*B243&gt;Valores!$F$47,Valores!$F$47,Valores!$C$50*B243),IF(Valores!$C$50*B243&gt;Valores!$F$47,Valores!$F$47,Valores!$C$50*B243)/2)</f>
        <v>12474.539999999999</v>
      </c>
      <c r="S243" s="125">
        <f>Valores!$C$18*B243</f>
        <v>7448.4000000000005</v>
      </c>
      <c r="T243" s="125">
        <f t="shared" si="40"/>
        <v>7448.4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IF(Valores!$C$99*B243&gt;Valores!$C$98,Valores!$C$98,Valores!$C$99*B243)</f>
        <v>22738.5</v>
      </c>
      <c r="AA243" s="125">
        <f>IF((Valores!$C$28)*B243&gt;Valores!$F$28,Valores!$F$28,(Valores!$C$28)*B243)</f>
        <v>585.17999999999995</v>
      </c>
      <c r="AB243" s="214">
        <v>0</v>
      </c>
      <c r="AC243" s="125">
        <f t="shared" si="34"/>
        <v>0</v>
      </c>
      <c r="AD243" s="125">
        <f>IF(Valores!$C$29*B243&gt;Valores!$F$29,Valores!$F$29,Valores!$C$29*B243)</f>
        <v>487.26</v>
      </c>
      <c r="AE243" s="192">
        <v>0</v>
      </c>
      <c r="AF243" s="125">
        <f>ROUND(AE243*Valores!$C$2,2)</f>
        <v>0</v>
      </c>
      <c r="AG243" s="125">
        <f>IF($F$4="NO",IF(Valores!$D$64*'Escala Docente'!B243&gt;Valores!$F$64,Valores!$F$64,Valores!$D$64*'Escala Docente'!B243),IF(Valores!$D$64*'Escala Docente'!B243&gt;Valores!$F$64,Valores!$F$64,Valores!$D$64*'Escala Docente'!B243)/2)+0.02</f>
        <v>11128.43</v>
      </c>
      <c r="AH243" s="125">
        <f>SUM(F243,H243,J243,L243,M243,N243,O243,P243,Q243,R243,T243,U243,V243,X243,Y243,Z243,AA243,AC243,AD243,AF243,AG243)*Valores!$C$104</f>
        <v>17628.994000000002</v>
      </c>
      <c r="AI243" s="125">
        <f t="shared" si="37"/>
        <v>193918.93400000001</v>
      </c>
      <c r="AJ243" s="125">
        <f>IF(Valores!$C$33*B243&gt;Valores!$F$33,Valores!$F$33,Valores!$C$33*B243)</f>
        <v>20999.999999999967</v>
      </c>
      <c r="AK243" s="125">
        <v>0</v>
      </c>
      <c r="AL243" s="125">
        <f>IF(Valores!$C$92*B243&gt;Valores!$C$91,Valores!$C$91,Valores!$C$92*B243)</f>
        <v>0</v>
      </c>
      <c r="AM243" s="125">
        <f>IF(Valores!C$40*B243&gt;Valores!F$39,Valores!F$39,Valores!C$40*B243)</f>
        <v>0</v>
      </c>
      <c r="AN243" s="125">
        <f>IF($F$3="NO",0,IF(Valores!$C$63*B243&gt;Valores!$F$63,Valores!$F$63,Valores!$C$63*B243))</f>
        <v>0</v>
      </c>
      <c r="AO243" s="125">
        <f t="shared" si="35"/>
        <v>20999.999999999967</v>
      </c>
      <c r="AP243" s="125">
        <f>AI243*Valores!$C$72</f>
        <v>-21331.082740000002</v>
      </c>
      <c r="AQ243" s="125">
        <f>IF(AI243&lt;Valores!$E$73,-0.02,IF(AI243&lt;Valores!$F$73,-0.03,-0.04))*AI243</f>
        <v>-3878.3786800000003</v>
      </c>
      <c r="AR243" s="125">
        <f>AI243*Valores!$C$75</f>
        <v>-10665.541370000001</v>
      </c>
      <c r="AS243" s="125">
        <f>Valores!$C$102</f>
        <v>-1270.1600000000001</v>
      </c>
      <c r="AT243" s="125">
        <f>IF($F$5=0,Valores!$C$103,(Valores!$C$103+$F$5*(Valores!$C$103)))</f>
        <v>-3700</v>
      </c>
      <c r="AU243" s="125">
        <f t="shared" si="38"/>
        <v>174073.77120999998</v>
      </c>
      <c r="AV243" s="125">
        <f t="shared" si="32"/>
        <v>-21331.082740000002</v>
      </c>
      <c r="AW243" s="125">
        <f t="shared" si="39"/>
        <v>-3878.3786800000003</v>
      </c>
      <c r="AX243" s="125">
        <f>AI243*Valores!$C$76</f>
        <v>-5235.8112179999998</v>
      </c>
      <c r="AY243" s="125">
        <f>AI243*Valores!$C$77</f>
        <v>-581.75680199999999</v>
      </c>
      <c r="AZ243" s="125">
        <f t="shared" si="36"/>
        <v>183891.90455999997</v>
      </c>
      <c r="BA243" s="125">
        <f>AI243*Valores!$C$79</f>
        <v>31027.029440000002</v>
      </c>
      <c r="BB243" s="125">
        <f>AI243*Valores!$C$80</f>
        <v>13574.325380000002</v>
      </c>
      <c r="BC243" s="125">
        <f>AI243*Valores!$C$81</f>
        <v>1939.1893400000001</v>
      </c>
      <c r="BD243" s="125">
        <f>AI243*Valores!$C$83</f>
        <v>6787.162690000001</v>
      </c>
      <c r="BE243" s="125">
        <f>AI243*Valores!$C$85</f>
        <v>10471.622436</v>
      </c>
      <c r="BF243" s="125">
        <f>AI243*Valores!$C$84</f>
        <v>1163.513604</v>
      </c>
      <c r="BG243" s="126"/>
      <c r="BH243" s="126">
        <f t="shared" si="41"/>
        <v>9</v>
      </c>
      <c r="BI243" s="123" t="s">
        <v>4</v>
      </c>
    </row>
    <row r="244" spans="1:61" s="110" customFormat="1" ht="11.25" customHeight="1" x14ac:dyDescent="0.15">
      <c r="A244" s="123" t="s">
        <v>466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42"/>
        <v>711</v>
      </c>
      <c r="F244" s="125">
        <f>ROUND(E244*Valores!$C$2,2)</f>
        <v>55171.25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18773.55</v>
      </c>
      <c r="N244" s="125">
        <f t="shared" si="33"/>
        <v>0</v>
      </c>
      <c r="O244" s="125">
        <f>Valores!$C$7*B244</f>
        <v>23682.329999999998</v>
      </c>
      <c r="P244" s="125">
        <f>ROUND(IF(B244&lt;15,(Valores!$E$5*B244),Valores!$D$5),2)</f>
        <v>23800.5</v>
      </c>
      <c r="Q244" s="125">
        <v>0</v>
      </c>
      <c r="R244" s="125">
        <f>IF($F$4="NO",IF(Valores!$C$50*B244&gt;Valores!$F$47,Valores!$F$47,Valores!$C$50*B244),IF(Valores!$C$50*B244&gt;Valores!$F$47,Valores!$F$47,Valores!$C$50*B244)/2)</f>
        <v>12474.539999999999</v>
      </c>
      <c r="S244" s="125">
        <f>Valores!$C$18*B244</f>
        <v>7448.4000000000005</v>
      </c>
      <c r="T244" s="125">
        <f t="shared" si="40"/>
        <v>7448.4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IF(Valores!$C$99*B244&gt;Valores!$C$98,Valores!$C$98,Valores!$C$99*B244)</f>
        <v>22738.5</v>
      </c>
      <c r="AA244" s="125">
        <f>IF((Valores!$C$28)*B244&gt;Valores!$F$28,Valores!$F$28,(Valores!$C$28)*B244)</f>
        <v>585.17999999999995</v>
      </c>
      <c r="AB244" s="214">
        <v>0</v>
      </c>
      <c r="AC244" s="125">
        <f t="shared" si="34"/>
        <v>0</v>
      </c>
      <c r="AD244" s="125">
        <f>IF(Valores!$C$29*B244&gt;Valores!$F$29,Valores!$F$29,Valores!$C$29*B244)</f>
        <v>487.26</v>
      </c>
      <c r="AE244" s="192">
        <v>94</v>
      </c>
      <c r="AF244" s="125">
        <f>ROUND(AE244*Valores!$C$2,2)</f>
        <v>7294.09</v>
      </c>
      <c r="AG244" s="125">
        <f>IF($F$4="NO",IF(Valores!$D$64*'Escala Docente'!B244&gt;Valores!$F$64,Valores!$F$64,Valores!$D$64*'Escala Docente'!B244),IF(Valores!$D$64*'Escala Docente'!B244&gt;Valores!$F$64,Valores!$F$64,Valores!$D$64*'Escala Docente'!B244)/2)+0.02</f>
        <v>11128.43</v>
      </c>
      <c r="AH244" s="125">
        <f>SUM(F244,H244,J244,L244,M244,N244,O244,P244,Q244,R244,T244,U244,V244,X244,Y244,Z244,AA244,AC244,AD244,AF244,AG244)*Valores!$C$104</f>
        <v>18358.403000000002</v>
      </c>
      <c r="AI244" s="125">
        <f t="shared" si="37"/>
        <v>201942.43299999999</v>
      </c>
      <c r="AJ244" s="125">
        <f>IF(Valores!$C$33*B244&gt;Valores!$F$33,Valores!$F$33,Valores!$C$33*B244)</f>
        <v>20999.999999999967</v>
      </c>
      <c r="AK244" s="125">
        <v>0</v>
      </c>
      <c r="AL244" s="125">
        <f>IF(Valores!$C$92*B244&gt;Valores!$C$91,Valores!$C$91,Valores!$C$92*B244)</f>
        <v>0</v>
      </c>
      <c r="AM244" s="125">
        <f>IF(Valores!C$40*B244&gt;Valores!F$39,Valores!F$39,Valores!C$40*B244)</f>
        <v>0</v>
      </c>
      <c r="AN244" s="125">
        <f>IF($F$3="NO",0,IF(Valores!$C$63*B244&gt;Valores!$F$63,Valores!$F$63,Valores!$C$63*B244))</f>
        <v>0</v>
      </c>
      <c r="AO244" s="125">
        <f t="shared" si="35"/>
        <v>20999.999999999967</v>
      </c>
      <c r="AP244" s="125">
        <f>AI244*Valores!$C$72</f>
        <v>-22213.66763</v>
      </c>
      <c r="AQ244" s="125">
        <f>IF(AI244&lt;Valores!$E$73,-0.02,IF(AI244&lt;Valores!$F$73,-0.03,-0.04))*AI244</f>
        <v>-4038.8486600000001</v>
      </c>
      <c r="AR244" s="125">
        <f>AI244*Valores!$C$75</f>
        <v>-11106.833815</v>
      </c>
      <c r="AS244" s="125">
        <f>Valores!$C$102</f>
        <v>-1270.1600000000001</v>
      </c>
      <c r="AT244" s="125">
        <f>IF($F$5=0,Valores!$C$103,(Valores!$C$103+$F$5*(Valores!$C$103)))</f>
        <v>-3700</v>
      </c>
      <c r="AU244" s="125">
        <f t="shared" si="38"/>
        <v>180612.92289499997</v>
      </c>
      <c r="AV244" s="125">
        <f t="shared" si="32"/>
        <v>-22213.66763</v>
      </c>
      <c r="AW244" s="125">
        <f t="shared" si="39"/>
        <v>-4038.8486600000001</v>
      </c>
      <c r="AX244" s="125">
        <f>AI244*Valores!$C$76</f>
        <v>-5452.4456909999999</v>
      </c>
      <c r="AY244" s="125">
        <f>AI244*Valores!$C$77</f>
        <v>-605.82729900000004</v>
      </c>
      <c r="AZ244" s="125">
        <f t="shared" si="36"/>
        <v>190631.64371999996</v>
      </c>
      <c r="BA244" s="125">
        <f>AI244*Valores!$C$79</f>
        <v>32310.789280000001</v>
      </c>
      <c r="BB244" s="125">
        <f>AI244*Valores!$C$80</f>
        <v>14135.970310000001</v>
      </c>
      <c r="BC244" s="125">
        <f>AI244*Valores!$C$81</f>
        <v>2019.4243300000001</v>
      </c>
      <c r="BD244" s="125">
        <f>AI244*Valores!$C$83</f>
        <v>7067.9851550000003</v>
      </c>
      <c r="BE244" s="125">
        <f>AI244*Valores!$C$85</f>
        <v>10904.891382</v>
      </c>
      <c r="BF244" s="125">
        <f>AI244*Valores!$C$84</f>
        <v>1211.6545980000001</v>
      </c>
      <c r="BG244" s="126"/>
      <c r="BH244" s="126">
        <f t="shared" si="41"/>
        <v>9</v>
      </c>
      <c r="BI244" s="123" t="s">
        <v>4</v>
      </c>
    </row>
    <row r="245" spans="1:61" s="110" customFormat="1" ht="11.25" customHeight="1" x14ac:dyDescent="0.15">
      <c r="A245" s="123" t="s">
        <v>466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42"/>
        <v>790</v>
      </c>
      <c r="F245" s="125">
        <f>ROUND(E245*Valores!$C$2,2)</f>
        <v>61301.39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20859.5</v>
      </c>
      <c r="N245" s="125">
        <f t="shared" si="33"/>
        <v>0</v>
      </c>
      <c r="O245" s="125">
        <f>Valores!$C$7*B245</f>
        <v>26313.699999999997</v>
      </c>
      <c r="P245" s="125">
        <f>ROUND(IF(B245&lt;15,(Valores!$E$5*B245),Valores!$D$5),2)</f>
        <v>26445</v>
      </c>
      <c r="Q245" s="125">
        <v>0</v>
      </c>
      <c r="R245" s="125">
        <f>IF($F$4="NO",IF(Valores!$C$50*B245&gt;Valores!$F$47,Valores!$F$47,Valores!$C$50*B245),IF(Valores!$C$50*B245&gt;Valores!$F$47,Valores!$F$47,Valores!$C$50*B245)/2)</f>
        <v>13860.599999999999</v>
      </c>
      <c r="S245" s="125">
        <f>Valores!$C$18*B245</f>
        <v>8276</v>
      </c>
      <c r="T245" s="125">
        <f t="shared" si="40"/>
        <v>8276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IF(Valores!$C$99*B245&gt;Valores!$C$98,Valores!$C$98,Valores!$C$99*B245)</f>
        <v>25265</v>
      </c>
      <c r="AA245" s="125">
        <f>IF((Valores!$C$28)*B245&gt;Valores!$F$28,Valores!$F$28,(Valores!$C$28)*B245)</f>
        <v>650.19999999999993</v>
      </c>
      <c r="AB245" s="214">
        <v>0</v>
      </c>
      <c r="AC245" s="125">
        <f t="shared" si="34"/>
        <v>0</v>
      </c>
      <c r="AD245" s="125">
        <f>IF(Valores!$C$29*B245&gt;Valores!$F$29,Valores!$F$29,Valores!$C$29*B245)</f>
        <v>541.4</v>
      </c>
      <c r="AE245" s="192">
        <v>0</v>
      </c>
      <c r="AF245" s="125">
        <f>ROUND(AE245*Valores!$C$2,2)</f>
        <v>0</v>
      </c>
      <c r="AG245" s="125">
        <f>IF($F$4="NO",IF(Valores!$D$64*'Escala Docente'!B245&gt;Valores!$F$64,Valores!$F$64,Valores!$D$64*'Escala Docente'!B245),IF(Valores!$D$64*'Escala Docente'!B245&gt;Valores!$F$64,Valores!$F$64,Valores!$D$64*'Escala Docente'!B245)/2)+0.02</f>
        <v>12364.92</v>
      </c>
      <c r="AH245" s="125">
        <f>SUM(F245,H245,J245,L245,M245,N245,O245,P245,Q245,R245,T245,U245,V245,X245,Y245,Z245,AA245,AC245,AD245,AF245,AG245)*Valores!$C$104</f>
        <v>19587.771000000004</v>
      </c>
      <c r="AI245" s="125">
        <f t="shared" si="37"/>
        <v>215465.48100000003</v>
      </c>
      <c r="AJ245" s="125">
        <f>IF(Valores!$C$33*B245&gt;Valores!$F$33,Valores!$F$33,Valores!$C$33*B245)</f>
        <v>23333.333333333299</v>
      </c>
      <c r="AK245" s="125">
        <v>0</v>
      </c>
      <c r="AL245" s="125">
        <f>IF(Valores!$C$92*B245&gt;Valores!$C$91,Valores!$C$91,Valores!$C$92*B245)</f>
        <v>0</v>
      </c>
      <c r="AM245" s="125">
        <f>IF(Valores!C$40*B245&gt;Valores!F$39,Valores!F$39,Valores!C$40*B245)</f>
        <v>0</v>
      </c>
      <c r="AN245" s="125">
        <f>IF($F$3="NO",0,IF(Valores!$C$63*B245&gt;Valores!$F$63,Valores!$F$63,Valores!$C$63*B245))</f>
        <v>0</v>
      </c>
      <c r="AO245" s="125">
        <f t="shared" si="35"/>
        <v>23333.333333333299</v>
      </c>
      <c r="AP245" s="125">
        <f>AI245*Valores!$C$72</f>
        <v>-23701.202910000004</v>
      </c>
      <c r="AQ245" s="125">
        <f>IF(AI245&lt;Valores!$E$73,-0.02,IF(AI245&lt;Valores!$F$73,-0.03,-0.04))*AI245</f>
        <v>-4309.3096200000009</v>
      </c>
      <c r="AR245" s="125">
        <f>AI245*Valores!$C$75</f>
        <v>-11850.601455000002</v>
      </c>
      <c r="AS245" s="125">
        <f>Valores!$C$102</f>
        <v>-1270.1600000000001</v>
      </c>
      <c r="AT245" s="125">
        <f>IF($F$5=0,Valores!$C$103,(Valores!$C$103+$F$5*(Valores!$C$103)))</f>
        <v>-3700</v>
      </c>
      <c r="AU245" s="125">
        <f t="shared" si="38"/>
        <v>193967.54034833331</v>
      </c>
      <c r="AV245" s="125">
        <f t="shared" si="32"/>
        <v>-23701.202910000004</v>
      </c>
      <c r="AW245" s="125">
        <f t="shared" si="39"/>
        <v>-4309.3096200000009</v>
      </c>
      <c r="AX245" s="125">
        <f>AI245*Valores!$C$76</f>
        <v>-5817.5679870000004</v>
      </c>
      <c r="AY245" s="125">
        <f>AI245*Valores!$C$77</f>
        <v>-646.39644300000009</v>
      </c>
      <c r="AZ245" s="125">
        <f t="shared" si="36"/>
        <v>204324.33737333334</v>
      </c>
      <c r="BA245" s="125">
        <f>AI245*Valores!$C$79</f>
        <v>34474.476960000007</v>
      </c>
      <c r="BB245" s="125">
        <f>AI245*Valores!$C$80</f>
        <v>15082.583670000004</v>
      </c>
      <c r="BC245" s="125">
        <f>AI245*Valores!$C$81</f>
        <v>2154.6548100000005</v>
      </c>
      <c r="BD245" s="125">
        <f>AI245*Valores!$C$83</f>
        <v>7541.2918350000018</v>
      </c>
      <c r="BE245" s="125">
        <f>AI245*Valores!$C$85</f>
        <v>11635.135974000001</v>
      </c>
      <c r="BF245" s="125">
        <f>AI245*Valores!$C$84</f>
        <v>1292.7928860000002</v>
      </c>
      <c r="BG245" s="126"/>
      <c r="BH245" s="126">
        <f t="shared" si="41"/>
        <v>10</v>
      </c>
      <c r="BI245" s="123" t="s">
        <v>4</v>
      </c>
    </row>
    <row r="246" spans="1:61" s="110" customFormat="1" ht="11.25" customHeight="1" x14ac:dyDescent="0.15">
      <c r="A246" s="123" t="s">
        <v>466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42"/>
        <v>790</v>
      </c>
      <c r="F246" s="125">
        <f>ROUND(E246*Valores!$C$2,2)</f>
        <v>61301.39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20859.5</v>
      </c>
      <c r="N246" s="125">
        <f t="shared" si="33"/>
        <v>0</v>
      </c>
      <c r="O246" s="125">
        <f>Valores!$C$7*B246</f>
        <v>26313.699999999997</v>
      </c>
      <c r="P246" s="125">
        <f>ROUND(IF(B246&lt;15,(Valores!$E$5*B246),Valores!$D$5),2)</f>
        <v>26445</v>
      </c>
      <c r="Q246" s="125">
        <v>0</v>
      </c>
      <c r="R246" s="125">
        <f>IF($F$4="NO",IF(Valores!$C$50*B246&gt;Valores!$F$47,Valores!$F$47,Valores!$C$50*B246),IF(Valores!$C$50*B246&gt;Valores!$F$47,Valores!$F$47,Valores!$C$50*B246)/2)</f>
        <v>13860.599999999999</v>
      </c>
      <c r="S246" s="125">
        <f>Valores!$C$18*B246</f>
        <v>8276</v>
      </c>
      <c r="T246" s="125">
        <f t="shared" si="40"/>
        <v>8276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IF(Valores!$C$99*B246&gt;Valores!$C$98,Valores!$C$98,Valores!$C$99*B246)</f>
        <v>25265</v>
      </c>
      <c r="AA246" s="125">
        <f>IF((Valores!$C$28)*B246&gt;Valores!$F$28,Valores!$F$28,(Valores!$C$28)*B246)</f>
        <v>650.19999999999993</v>
      </c>
      <c r="AB246" s="214">
        <v>0</v>
      </c>
      <c r="AC246" s="125">
        <f t="shared" si="34"/>
        <v>0</v>
      </c>
      <c r="AD246" s="125">
        <f>IF(Valores!$C$29*B246&gt;Valores!$F$29,Valores!$F$29,Valores!$C$29*B246)</f>
        <v>541.4</v>
      </c>
      <c r="AE246" s="192">
        <v>94</v>
      </c>
      <c r="AF246" s="125">
        <f>ROUND(AE246*Valores!$C$2,2)</f>
        <v>7294.09</v>
      </c>
      <c r="AG246" s="125">
        <f>IF($F$4="NO",IF(Valores!$D$64*'Escala Docente'!B246&gt;Valores!$F$64,Valores!$F$64,Valores!$D$64*'Escala Docente'!B246),IF(Valores!$D$64*'Escala Docente'!B246&gt;Valores!$F$64,Valores!$F$64,Valores!$D$64*'Escala Docente'!B246)/2)+0.02</f>
        <v>12364.92</v>
      </c>
      <c r="AH246" s="125">
        <f>SUM(F246,H246,J246,L246,M246,N246,O246,P246,Q246,R246,T246,U246,V246,X246,Y246,Z246,AA246,AC246,AD246,AF246,AG246)*Valores!$C$104</f>
        <v>20317.180000000004</v>
      </c>
      <c r="AI246" s="125">
        <f t="shared" si="37"/>
        <v>223488.98</v>
      </c>
      <c r="AJ246" s="125">
        <f>IF(Valores!$C$33*B246&gt;Valores!$F$33,Valores!$F$33,Valores!$C$33*B246)</f>
        <v>23333.333333333299</v>
      </c>
      <c r="AK246" s="125">
        <v>0</v>
      </c>
      <c r="AL246" s="125">
        <f>IF(Valores!$C$92*B246&gt;Valores!$C$91,Valores!$C$91,Valores!$C$92*B246)</f>
        <v>0</v>
      </c>
      <c r="AM246" s="125">
        <f>IF(Valores!C$40*B246&gt;Valores!F$39,Valores!F$39,Valores!C$40*B246)</f>
        <v>0</v>
      </c>
      <c r="AN246" s="125">
        <f>IF($F$3="NO",0,IF(Valores!$C$63*B246&gt;Valores!$F$63,Valores!$F$63,Valores!$C$63*B246))</f>
        <v>0</v>
      </c>
      <c r="AO246" s="125">
        <f t="shared" si="35"/>
        <v>23333.333333333299</v>
      </c>
      <c r="AP246" s="125">
        <f>AI246*Valores!$C$72</f>
        <v>-24583.787800000002</v>
      </c>
      <c r="AQ246" s="125">
        <f>IF(AI246&lt;Valores!$E$73,-0.02,IF(AI246&lt;Valores!$F$73,-0.03,-0.04))*AI246</f>
        <v>-4469.7796000000008</v>
      </c>
      <c r="AR246" s="125">
        <f>AI246*Valores!$C$75</f>
        <v>-12291.893900000001</v>
      </c>
      <c r="AS246" s="125">
        <f>Valores!$C$102</f>
        <v>-1270.1600000000001</v>
      </c>
      <c r="AT246" s="125">
        <f>IF($F$5=0,Valores!$C$103,(Valores!$C$103+$F$5*(Valores!$C$103)))</f>
        <v>-3700</v>
      </c>
      <c r="AU246" s="125">
        <f t="shared" si="38"/>
        <v>200506.6920333333</v>
      </c>
      <c r="AV246" s="125">
        <f t="shared" si="32"/>
        <v>-24583.787800000002</v>
      </c>
      <c r="AW246" s="125">
        <f t="shared" si="39"/>
        <v>-4469.7796000000008</v>
      </c>
      <c r="AX246" s="125">
        <f>AI246*Valores!$C$76</f>
        <v>-6034.2024600000004</v>
      </c>
      <c r="AY246" s="125">
        <f>AI246*Valores!$C$77</f>
        <v>-670.46694000000002</v>
      </c>
      <c r="AZ246" s="125">
        <f t="shared" si="36"/>
        <v>211064.07653333328</v>
      </c>
      <c r="BA246" s="125">
        <f>AI246*Valores!$C$79</f>
        <v>35758.236800000006</v>
      </c>
      <c r="BB246" s="125">
        <f>AI246*Valores!$C$80</f>
        <v>15644.228600000002</v>
      </c>
      <c r="BC246" s="125">
        <f>AI246*Valores!$C$81</f>
        <v>2234.8898000000004</v>
      </c>
      <c r="BD246" s="125">
        <f>AI246*Valores!$C$83</f>
        <v>7822.1143000000011</v>
      </c>
      <c r="BE246" s="125">
        <f>AI246*Valores!$C$85</f>
        <v>12068.404920000001</v>
      </c>
      <c r="BF246" s="125">
        <f>AI246*Valores!$C$84</f>
        <v>1340.93388</v>
      </c>
      <c r="BG246" s="126"/>
      <c r="BH246" s="126">
        <f t="shared" si="41"/>
        <v>10</v>
      </c>
      <c r="BI246" s="123" t="s">
        <v>4</v>
      </c>
    </row>
    <row r="247" spans="1:61" s="110" customFormat="1" ht="11.25" customHeight="1" x14ac:dyDescent="0.15">
      <c r="A247" s="123" t="s">
        <v>466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42"/>
        <v>869</v>
      </c>
      <c r="F247" s="125">
        <f>ROUND(E247*Valores!$C$2,2)</f>
        <v>67431.53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22945.45</v>
      </c>
      <c r="N247" s="125">
        <f t="shared" si="33"/>
        <v>0</v>
      </c>
      <c r="O247" s="125">
        <f>Valores!$C$7*B247</f>
        <v>28945.07</v>
      </c>
      <c r="P247" s="125">
        <f>ROUND(IF(B247&lt;15,(Valores!$E$5*B247),Valores!$D$5),2)</f>
        <v>29089.5</v>
      </c>
      <c r="Q247" s="125">
        <v>0</v>
      </c>
      <c r="R247" s="125">
        <f>IF($F$4="NO",IF(Valores!$C$50*B247&gt;Valores!$F$47,Valores!$F$47,Valores!$C$50*B247),IF(Valores!$C$50*B247&gt;Valores!$F$47,Valores!$F$47,Valores!$C$50*B247)/2)</f>
        <v>15246.66</v>
      </c>
      <c r="S247" s="125">
        <f>Valores!$C$18*B247</f>
        <v>9103.6</v>
      </c>
      <c r="T247" s="125">
        <f t="shared" si="40"/>
        <v>9103.6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IF(Valores!$C$99*B247&gt;Valores!$C$98,Valores!$C$98,Valores!$C$99*B247)</f>
        <v>27791.5</v>
      </c>
      <c r="AA247" s="125">
        <f>IF((Valores!$C$28)*B247&gt;Valores!$F$28,Valores!$F$28,(Valores!$C$28)*B247)</f>
        <v>715.21999999999991</v>
      </c>
      <c r="AB247" s="214">
        <v>0</v>
      </c>
      <c r="AC247" s="125">
        <f t="shared" si="34"/>
        <v>0</v>
      </c>
      <c r="AD247" s="125">
        <f>IF(Valores!$C$29*B247&gt;Valores!$F$29,Valores!$F$29,Valores!$C$29*B247)</f>
        <v>595.54</v>
      </c>
      <c r="AE247" s="192">
        <v>0</v>
      </c>
      <c r="AF247" s="125">
        <f>ROUND(AE247*Valores!$C$2,2)</f>
        <v>0</v>
      </c>
      <c r="AG247" s="125">
        <f>IF($F$4="NO",IF(Valores!$D$64*'Escala Docente'!B247&gt;Valores!$F$64,Valores!$F$64,Valores!$D$64*'Escala Docente'!B247),IF(Valores!$D$64*'Escala Docente'!B247&gt;Valores!$F$64,Valores!$F$64,Valores!$D$64*'Escala Docente'!B247)/2)+0.02</f>
        <v>13601.41</v>
      </c>
      <c r="AH247" s="125">
        <f>SUM(F247,H247,J247,L247,M247,N247,O247,P247,Q247,R247,T247,U247,V247,X247,Y247,Z247,AA247,AC247,AD247,AF247,AG247)*Valores!$C$104</f>
        <v>21546.548000000003</v>
      </c>
      <c r="AI247" s="125">
        <f t="shared" si="37"/>
        <v>237012.02800000002</v>
      </c>
      <c r="AJ247" s="125">
        <f>IF(Valores!$C$33*B247&gt;Valores!$F$33,Valores!$F$33,Valores!$C$33*B247)</f>
        <v>25666.666666666628</v>
      </c>
      <c r="AK247" s="125">
        <v>0</v>
      </c>
      <c r="AL247" s="125">
        <f>IF(Valores!$C$92*B247&gt;Valores!$C$91,Valores!$C$91,Valores!$C$92*B247)</f>
        <v>0</v>
      </c>
      <c r="AM247" s="125">
        <f>IF(Valores!C$40*B247&gt;Valores!F$39,Valores!F$39,Valores!C$40*B247)</f>
        <v>0</v>
      </c>
      <c r="AN247" s="125">
        <f>IF($F$3="NO",0,IF(Valores!$C$63*B247&gt;Valores!$F$63,Valores!$F$63,Valores!$C$63*B247))</f>
        <v>0</v>
      </c>
      <c r="AO247" s="125">
        <f t="shared" si="35"/>
        <v>25666.666666666628</v>
      </c>
      <c r="AP247" s="125">
        <f>AI247*Valores!$C$72</f>
        <v>-26071.323080000002</v>
      </c>
      <c r="AQ247" s="125">
        <f>IF(AI247&lt;Valores!$E$73,-0.02,IF(AI247&lt;Valores!$F$73,-0.03,-0.04))*AI247</f>
        <v>-4740.2405600000002</v>
      </c>
      <c r="AR247" s="125">
        <f>AI247*Valores!$C$75</f>
        <v>-13035.661540000001</v>
      </c>
      <c r="AS247" s="125">
        <f>Valores!$C$102</f>
        <v>-1270.1600000000001</v>
      </c>
      <c r="AT247" s="125">
        <f>IF($F$5=0,Valores!$C$103,(Valores!$C$103+$F$5*(Valores!$C$103)))</f>
        <v>-3700</v>
      </c>
      <c r="AU247" s="125">
        <f t="shared" si="38"/>
        <v>213861.30948666664</v>
      </c>
      <c r="AV247" s="125">
        <f t="shared" si="32"/>
        <v>-26071.323080000002</v>
      </c>
      <c r="AW247" s="125">
        <f t="shared" si="39"/>
        <v>-4740.2405600000002</v>
      </c>
      <c r="AX247" s="125">
        <f>AI247*Valores!$C$76</f>
        <v>-6399.3247560000009</v>
      </c>
      <c r="AY247" s="125">
        <f>AI247*Valores!$C$77</f>
        <v>-711.03608400000007</v>
      </c>
      <c r="AZ247" s="125">
        <f t="shared" si="36"/>
        <v>224756.77018666669</v>
      </c>
      <c r="BA247" s="125">
        <f>AI247*Valores!$C$79</f>
        <v>37921.924480000001</v>
      </c>
      <c r="BB247" s="125">
        <f>AI247*Valores!$C$80</f>
        <v>16590.841960000002</v>
      </c>
      <c r="BC247" s="125">
        <f>AI247*Valores!$C$81</f>
        <v>2370.1202800000001</v>
      </c>
      <c r="BD247" s="125">
        <f>AI247*Valores!$C$83</f>
        <v>8295.4209800000008</v>
      </c>
      <c r="BE247" s="125">
        <f>AI247*Valores!$C$85</f>
        <v>12798.649512000002</v>
      </c>
      <c r="BF247" s="125">
        <f>AI247*Valores!$C$84</f>
        <v>1422.0721680000001</v>
      </c>
      <c r="BG247" s="126"/>
      <c r="BH247" s="126">
        <f t="shared" si="41"/>
        <v>11</v>
      </c>
      <c r="BI247" s="123" t="s">
        <v>4</v>
      </c>
    </row>
    <row r="248" spans="1:61" s="110" customFormat="1" ht="11.25" customHeight="1" x14ac:dyDescent="0.15">
      <c r="A248" s="123" t="s">
        <v>466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42"/>
        <v>869</v>
      </c>
      <c r="F248" s="125">
        <f>ROUND(E248*Valores!$C$2,2)</f>
        <v>67431.53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22945.45</v>
      </c>
      <c r="N248" s="125">
        <f t="shared" si="33"/>
        <v>0</v>
      </c>
      <c r="O248" s="125">
        <f>Valores!$C$7*B248</f>
        <v>28945.07</v>
      </c>
      <c r="P248" s="125">
        <f>ROUND(IF(B248&lt;15,(Valores!$E$5*B248),Valores!$D$5),2)</f>
        <v>29089.5</v>
      </c>
      <c r="Q248" s="125">
        <v>0</v>
      </c>
      <c r="R248" s="125">
        <f>IF($F$4="NO",IF(Valores!$C$50*B248&gt;Valores!$F$47,Valores!$F$47,Valores!$C$50*B248),IF(Valores!$C$50*B248&gt;Valores!$F$47,Valores!$F$47,Valores!$C$50*B248)/2)</f>
        <v>15246.66</v>
      </c>
      <c r="S248" s="125">
        <f>Valores!$C$18*B248</f>
        <v>9103.6</v>
      </c>
      <c r="T248" s="125">
        <f t="shared" si="40"/>
        <v>9103.6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IF(Valores!$C$99*B248&gt;Valores!$C$98,Valores!$C$98,Valores!$C$99*B248)</f>
        <v>27791.5</v>
      </c>
      <c r="AA248" s="125">
        <f>IF((Valores!$C$28)*B248&gt;Valores!$F$28,Valores!$F$28,(Valores!$C$28)*B248)</f>
        <v>715.21999999999991</v>
      </c>
      <c r="AB248" s="214">
        <v>0</v>
      </c>
      <c r="AC248" s="125">
        <f t="shared" si="34"/>
        <v>0</v>
      </c>
      <c r="AD248" s="125">
        <f>IF(Valores!$C$29*B248&gt;Valores!$F$29,Valores!$F$29,Valores!$C$29*B248)</f>
        <v>595.54</v>
      </c>
      <c r="AE248" s="192">
        <v>94</v>
      </c>
      <c r="AF248" s="125">
        <f>ROUND(AE248*Valores!$C$2,2)</f>
        <v>7294.09</v>
      </c>
      <c r="AG248" s="125">
        <f>IF($F$4="NO",IF(Valores!$D$64*'Escala Docente'!B248&gt;Valores!$F$64,Valores!$F$64,Valores!$D$64*'Escala Docente'!B248),IF(Valores!$D$64*'Escala Docente'!B248&gt;Valores!$F$64,Valores!$F$64,Valores!$D$64*'Escala Docente'!B248)/2)+0.02</f>
        <v>13601.41</v>
      </c>
      <c r="AH248" s="125">
        <f>SUM(F248,H248,J248,L248,M248,N248,O248,P248,Q248,R248,T248,U248,V248,X248,Y248,Z248,AA248,AC248,AD248,AF248,AG248)*Valores!$C$104</f>
        <v>22275.957000000002</v>
      </c>
      <c r="AI248" s="125">
        <f t="shared" si="37"/>
        <v>245035.527</v>
      </c>
      <c r="AJ248" s="125">
        <f>IF(Valores!$C$33*B248&gt;Valores!$F$33,Valores!$F$33,Valores!$C$33*B248)</f>
        <v>25666.666666666628</v>
      </c>
      <c r="AK248" s="125">
        <v>0</v>
      </c>
      <c r="AL248" s="125">
        <f>IF(Valores!$C$92*B248&gt;Valores!$C$91,Valores!$C$91,Valores!$C$92*B248)</f>
        <v>0</v>
      </c>
      <c r="AM248" s="125">
        <f>IF(Valores!C$40*B248&gt;Valores!F$39,Valores!F$39,Valores!C$40*B248)</f>
        <v>0</v>
      </c>
      <c r="AN248" s="125">
        <f>IF($F$3="NO",0,IF(Valores!$C$63*B248&gt;Valores!$F$63,Valores!$F$63,Valores!$C$63*B248))</f>
        <v>0</v>
      </c>
      <c r="AO248" s="125">
        <f t="shared" si="35"/>
        <v>25666.666666666628</v>
      </c>
      <c r="AP248" s="125">
        <f>AI248*Valores!$C$72</f>
        <v>-26953.90797</v>
      </c>
      <c r="AQ248" s="125">
        <f>IF(AI248&lt;Valores!$E$73,-0.02,IF(AI248&lt;Valores!$F$73,-0.03,-0.04))*AI248</f>
        <v>-4900.71054</v>
      </c>
      <c r="AR248" s="125">
        <f>AI248*Valores!$C$75</f>
        <v>-13476.953985</v>
      </c>
      <c r="AS248" s="125">
        <f>Valores!$C$102</f>
        <v>-1270.1600000000001</v>
      </c>
      <c r="AT248" s="125">
        <f>IF($F$5=0,Valores!$C$103,(Valores!$C$103+$F$5*(Valores!$C$103)))</f>
        <v>-3700</v>
      </c>
      <c r="AU248" s="125">
        <f t="shared" si="38"/>
        <v>220400.46117166663</v>
      </c>
      <c r="AV248" s="125">
        <f t="shared" si="32"/>
        <v>-26953.90797</v>
      </c>
      <c r="AW248" s="125">
        <f t="shared" si="39"/>
        <v>-4900.71054</v>
      </c>
      <c r="AX248" s="125">
        <f>AI248*Valores!$C$76</f>
        <v>-6615.9592290000001</v>
      </c>
      <c r="AY248" s="125">
        <f>AI248*Valores!$C$77</f>
        <v>-735.10658100000001</v>
      </c>
      <c r="AZ248" s="125">
        <f t="shared" si="36"/>
        <v>231496.50934666663</v>
      </c>
      <c r="BA248" s="125">
        <f>AI248*Valores!$C$79</f>
        <v>39205.68432</v>
      </c>
      <c r="BB248" s="125">
        <f>AI248*Valores!$C$80</f>
        <v>17152.48689</v>
      </c>
      <c r="BC248" s="125">
        <f>AI248*Valores!$C$81</f>
        <v>2450.35527</v>
      </c>
      <c r="BD248" s="125">
        <f>AI248*Valores!$C$83</f>
        <v>8576.2434450000001</v>
      </c>
      <c r="BE248" s="125">
        <f>AI248*Valores!$C$85</f>
        <v>13231.918458</v>
      </c>
      <c r="BF248" s="125">
        <f>AI248*Valores!$C$84</f>
        <v>1470.213162</v>
      </c>
      <c r="BG248" s="126"/>
      <c r="BH248" s="126">
        <f t="shared" si="41"/>
        <v>11</v>
      </c>
      <c r="BI248" s="123" t="s">
        <v>4</v>
      </c>
    </row>
    <row r="249" spans="1:61" s="110" customFormat="1" ht="11.25" customHeight="1" x14ac:dyDescent="0.15">
      <c r="A249" s="123" t="s">
        <v>466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42"/>
        <v>948</v>
      </c>
      <c r="F249" s="125">
        <f>ROUND(E249*Valores!$C$2,2)</f>
        <v>73561.67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25031.4</v>
      </c>
      <c r="N249" s="125">
        <f t="shared" si="33"/>
        <v>0</v>
      </c>
      <c r="O249" s="125">
        <f>Valores!$C$7*B249</f>
        <v>31576.44</v>
      </c>
      <c r="P249" s="125">
        <f>ROUND(IF(B249&lt;15,(Valores!$E$5*B249),Valores!$D$5),2)</f>
        <v>31734</v>
      </c>
      <c r="Q249" s="125">
        <v>0</v>
      </c>
      <c r="R249" s="125">
        <f>IF($F$4="NO",IF(Valores!$C$50*B249&gt;Valores!$F$47,Valores!$F$47,Valores!$C$50*B249),IF(Valores!$C$50*B249&gt;Valores!$F$47,Valores!$F$47,Valores!$C$50*B249)/2)</f>
        <v>16632.72</v>
      </c>
      <c r="S249" s="125">
        <f>Valores!$C$18*B249</f>
        <v>9931.2000000000007</v>
      </c>
      <c r="T249" s="125">
        <f t="shared" si="40"/>
        <v>9931.2000000000007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IF(Valores!$C$99*B249&gt;Valores!$C$98,Valores!$C$98,Valores!$C$99*B249)</f>
        <v>30318</v>
      </c>
      <c r="AA249" s="125">
        <f>IF((Valores!$C$28)*B249&gt;Valores!$F$28,Valores!$F$28,(Valores!$C$28)*B249)</f>
        <v>780.24</v>
      </c>
      <c r="AB249" s="214">
        <v>0</v>
      </c>
      <c r="AC249" s="125">
        <f t="shared" si="34"/>
        <v>0</v>
      </c>
      <c r="AD249" s="125">
        <f>IF(Valores!$C$29*B249&gt;Valores!$F$29,Valores!$F$29,Valores!$C$29*B249)</f>
        <v>649.68000000000006</v>
      </c>
      <c r="AE249" s="192">
        <v>0</v>
      </c>
      <c r="AF249" s="125">
        <f>ROUND(AE249*Valores!$C$2,2)</f>
        <v>0</v>
      </c>
      <c r="AG249" s="125">
        <f>IF($F$4="NO",IF(Valores!$D$64*'Escala Docente'!B249&gt;Valores!$F$64,Valores!$F$64,Valores!$D$64*'Escala Docente'!B249),IF(Valores!$D$64*'Escala Docente'!B249&gt;Valores!$F$64,Valores!$F$64,Valores!$D$64*'Escala Docente'!B249)/2)+0.02</f>
        <v>14837.900000000001</v>
      </c>
      <c r="AH249" s="125">
        <f>SUM(F249,H249,J249,L249,M249,N249,O249,P249,Q249,R249,T249,U249,V249,X249,Y249,Z249,AA249,AC249,AD249,AF249,AG249)*Valores!$C$104</f>
        <v>23505.325000000001</v>
      </c>
      <c r="AI249" s="125">
        <f t="shared" si="37"/>
        <v>258558.57500000001</v>
      </c>
      <c r="AJ249" s="125">
        <f>IF(Valores!$C$33*B249&gt;Valores!$F$33,Valores!$F$33,Valores!$C$33*B249)</f>
        <v>27999.999999999956</v>
      </c>
      <c r="AK249" s="125">
        <v>0</v>
      </c>
      <c r="AL249" s="125">
        <f>IF(Valores!$C$92*B249&gt;Valores!$C$91,Valores!$C$91,Valores!$C$92*B249)</f>
        <v>0</v>
      </c>
      <c r="AM249" s="125">
        <f>IF(Valores!C$40*B249&gt;Valores!F$39,Valores!F$39,Valores!C$40*B249)</f>
        <v>0</v>
      </c>
      <c r="AN249" s="125">
        <f>IF($F$3="NO",0,IF(Valores!$C$63*B249&gt;Valores!$F$63,Valores!$F$63,Valores!$C$63*B249))</f>
        <v>0</v>
      </c>
      <c r="AO249" s="125">
        <f t="shared" si="35"/>
        <v>27999.999999999956</v>
      </c>
      <c r="AP249" s="125">
        <f>AI249*Valores!$C$72</f>
        <v>-28441.44325</v>
      </c>
      <c r="AQ249" s="125">
        <f>IF(AI249&lt;Valores!$E$73,-0.02,IF(AI249&lt;Valores!$F$73,-0.03,-0.04))*AI249</f>
        <v>-5171.1715000000004</v>
      </c>
      <c r="AR249" s="125">
        <f>AI249*Valores!$C$75</f>
        <v>-14220.721625</v>
      </c>
      <c r="AS249" s="125">
        <f>Valores!$C$102</f>
        <v>-1270.1600000000001</v>
      </c>
      <c r="AT249" s="125">
        <f>IF($F$5=0,Valores!$C$103,(Valores!$C$103+$F$5*(Valores!$C$103)))</f>
        <v>-3700</v>
      </c>
      <c r="AU249" s="125">
        <f t="shared" si="38"/>
        <v>233755.07862499997</v>
      </c>
      <c r="AV249" s="125">
        <f t="shared" si="32"/>
        <v>-28441.44325</v>
      </c>
      <c r="AW249" s="125">
        <f t="shared" si="39"/>
        <v>-5171.1715000000004</v>
      </c>
      <c r="AX249" s="125">
        <f>AI249*Valores!$C$76</f>
        <v>-6981.0815250000005</v>
      </c>
      <c r="AY249" s="125">
        <f>AI249*Valores!$C$77</f>
        <v>-775.67572500000006</v>
      </c>
      <c r="AZ249" s="125">
        <f t="shared" si="36"/>
        <v>245189.20299999995</v>
      </c>
      <c r="BA249" s="125">
        <f>AI249*Valores!$C$79</f>
        <v>41369.372000000003</v>
      </c>
      <c r="BB249" s="125">
        <f>AI249*Valores!$C$80</f>
        <v>18099.100250000003</v>
      </c>
      <c r="BC249" s="125">
        <f>AI249*Valores!$C$81</f>
        <v>2585.5857500000002</v>
      </c>
      <c r="BD249" s="125">
        <f>AI249*Valores!$C$83</f>
        <v>9049.5501250000016</v>
      </c>
      <c r="BE249" s="125">
        <f>AI249*Valores!$C$85</f>
        <v>13962.163050000001</v>
      </c>
      <c r="BF249" s="125">
        <f>AI249*Valores!$C$84</f>
        <v>1551.3514500000001</v>
      </c>
      <c r="BG249" s="126"/>
      <c r="BH249" s="126">
        <f t="shared" si="41"/>
        <v>12</v>
      </c>
      <c r="BI249" s="123" t="s">
        <v>4</v>
      </c>
    </row>
    <row r="250" spans="1:61" s="110" customFormat="1" ht="11.25" customHeight="1" x14ac:dyDescent="0.15">
      <c r="A250" s="123" t="s">
        <v>466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42"/>
        <v>948</v>
      </c>
      <c r="F250" s="125">
        <f>ROUND(E250*Valores!$C$2,2)</f>
        <v>73561.67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25031.4</v>
      </c>
      <c r="N250" s="125">
        <f t="shared" si="33"/>
        <v>0</v>
      </c>
      <c r="O250" s="125">
        <f>Valores!$C$7*B250</f>
        <v>31576.44</v>
      </c>
      <c r="P250" s="125">
        <f>ROUND(IF(B250&lt;15,(Valores!$E$5*B250),Valores!$D$5),2)</f>
        <v>31734</v>
      </c>
      <c r="Q250" s="125">
        <v>0</v>
      </c>
      <c r="R250" s="125">
        <f>IF($F$4="NO",IF(Valores!$C$50*B250&gt;Valores!$F$47,Valores!$F$47,Valores!$C$50*B250),IF(Valores!$C$50*B250&gt;Valores!$F$47,Valores!$F$47,Valores!$C$50*B250)/2)</f>
        <v>16632.72</v>
      </c>
      <c r="S250" s="125">
        <f>Valores!$C$18*B250</f>
        <v>9931.2000000000007</v>
      </c>
      <c r="T250" s="125">
        <f t="shared" si="40"/>
        <v>9931.2000000000007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IF(Valores!$C$99*B250&gt;Valores!$C$98,Valores!$C$98,Valores!$C$99*B250)</f>
        <v>30318</v>
      </c>
      <c r="AA250" s="125">
        <f>IF((Valores!$C$28)*B250&gt;Valores!$F$28,Valores!$F$28,(Valores!$C$28)*B250)</f>
        <v>780.24</v>
      </c>
      <c r="AB250" s="214">
        <v>0</v>
      </c>
      <c r="AC250" s="125">
        <f t="shared" si="34"/>
        <v>0</v>
      </c>
      <c r="AD250" s="125">
        <f>IF(Valores!$C$29*B250&gt;Valores!$F$29,Valores!$F$29,Valores!$C$29*B250)</f>
        <v>649.68000000000006</v>
      </c>
      <c r="AE250" s="192">
        <v>94</v>
      </c>
      <c r="AF250" s="125">
        <f>ROUND(AE250*Valores!$C$2,2)</f>
        <v>7294.09</v>
      </c>
      <c r="AG250" s="125">
        <f>IF($F$4="NO",IF(Valores!$D$64*'Escala Docente'!B250&gt;Valores!$F$64,Valores!$F$64,Valores!$D$64*'Escala Docente'!B250),IF(Valores!$D$64*'Escala Docente'!B250&gt;Valores!$F$64,Valores!$F$64,Valores!$D$64*'Escala Docente'!B250)/2)+0.02</f>
        <v>14837.900000000001</v>
      </c>
      <c r="AH250" s="125">
        <f>SUM(F250,H250,J250,L250,M250,N250,O250,P250,Q250,R250,T250,U250,V250,X250,Y250,Z250,AA250,AC250,AD250,AF250,AG250)*Valores!$C$104</f>
        <v>24234.734</v>
      </c>
      <c r="AI250" s="125">
        <f t="shared" si="37"/>
        <v>266582.07400000002</v>
      </c>
      <c r="AJ250" s="125">
        <f>IF(Valores!$C$33*B250&gt;Valores!$F$33,Valores!$F$33,Valores!$C$33*B250)</f>
        <v>27999.999999999956</v>
      </c>
      <c r="AK250" s="125">
        <v>0</v>
      </c>
      <c r="AL250" s="125">
        <f>IF(Valores!$C$92*B250&gt;Valores!$C$91,Valores!$C$91,Valores!$C$92*B250)</f>
        <v>0</v>
      </c>
      <c r="AM250" s="125">
        <f>IF(Valores!C$40*B250&gt;Valores!F$39,Valores!F$39,Valores!C$40*B250)</f>
        <v>0</v>
      </c>
      <c r="AN250" s="125">
        <f>IF($F$3="NO",0,IF(Valores!$C$63*B250&gt;Valores!$F$63,Valores!$F$63,Valores!$C$63*B250))</f>
        <v>0</v>
      </c>
      <c r="AO250" s="125">
        <f t="shared" si="35"/>
        <v>27999.999999999956</v>
      </c>
      <c r="AP250" s="125">
        <f>AI250*Valores!$C$72</f>
        <v>-29324.028140000002</v>
      </c>
      <c r="AQ250" s="125">
        <f>IF(AI250&lt;Valores!$E$73,-0.02,IF(AI250&lt;Valores!$F$73,-0.03,-0.04))*AI250</f>
        <v>-5331.6414800000002</v>
      </c>
      <c r="AR250" s="125">
        <f>AI250*Valores!$C$75</f>
        <v>-14662.014070000001</v>
      </c>
      <c r="AS250" s="125">
        <f>Valores!$C$102</f>
        <v>-1270.1600000000001</v>
      </c>
      <c r="AT250" s="125">
        <f>IF($F$5=0,Valores!$C$103,(Valores!$C$103+$F$5*(Valores!$C$103)))</f>
        <v>-3700</v>
      </c>
      <c r="AU250" s="125">
        <f t="shared" si="38"/>
        <v>240294.23030999998</v>
      </c>
      <c r="AV250" s="125">
        <f t="shared" si="32"/>
        <v>-29324.028140000002</v>
      </c>
      <c r="AW250" s="125">
        <f t="shared" si="39"/>
        <v>-5331.6414800000002</v>
      </c>
      <c r="AX250" s="125">
        <f>AI250*Valores!$C$76</f>
        <v>-7197.7159980000006</v>
      </c>
      <c r="AY250" s="125">
        <f>AI250*Valores!$C$77</f>
        <v>-799.7462220000001</v>
      </c>
      <c r="AZ250" s="125">
        <f t="shared" si="36"/>
        <v>251928.94215999998</v>
      </c>
      <c r="BA250" s="125">
        <f>AI250*Valores!$C$79</f>
        <v>42653.131840000002</v>
      </c>
      <c r="BB250" s="125">
        <f>AI250*Valores!$C$80</f>
        <v>18660.745180000002</v>
      </c>
      <c r="BC250" s="125">
        <f>AI250*Valores!$C$81</f>
        <v>2665.8207400000001</v>
      </c>
      <c r="BD250" s="125">
        <f>AI250*Valores!$C$83</f>
        <v>9330.3725900000009</v>
      </c>
      <c r="BE250" s="125">
        <f>AI250*Valores!$C$85</f>
        <v>14395.431996000001</v>
      </c>
      <c r="BF250" s="125">
        <f>AI250*Valores!$C$84</f>
        <v>1599.4924440000002</v>
      </c>
      <c r="BG250" s="126"/>
      <c r="BH250" s="126">
        <f t="shared" si="41"/>
        <v>12</v>
      </c>
      <c r="BI250" s="123" t="s">
        <v>4</v>
      </c>
    </row>
    <row r="251" spans="1:61" s="110" customFormat="1" ht="11.25" customHeight="1" x14ac:dyDescent="0.15">
      <c r="A251" s="123" t="s">
        <v>466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42"/>
        <v>1027</v>
      </c>
      <c r="F251" s="125">
        <f>ROUND(E251*Valores!$C$2,2)</f>
        <v>79691.81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27117.35</v>
      </c>
      <c r="N251" s="125">
        <f t="shared" si="33"/>
        <v>0</v>
      </c>
      <c r="O251" s="125">
        <f>Valores!$C$7*B251</f>
        <v>34207.81</v>
      </c>
      <c r="P251" s="125">
        <f>ROUND(IF(B251&lt;15,(Valores!$E$5*B251),Valores!$D$5),2)</f>
        <v>34378.5</v>
      </c>
      <c r="Q251" s="125">
        <v>0</v>
      </c>
      <c r="R251" s="125">
        <f>IF($F$4="NO",IF(Valores!$C$50*B251&gt;Valores!$F$47,Valores!$F$47,Valores!$C$50*B251),IF(Valores!$C$50*B251&gt;Valores!$F$47,Valores!$F$47,Valores!$C$50*B251)/2)</f>
        <v>18018.78</v>
      </c>
      <c r="S251" s="125">
        <f>Valores!$C$18*B251</f>
        <v>10758.800000000001</v>
      </c>
      <c r="T251" s="125">
        <f t="shared" si="40"/>
        <v>10758.8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IF(Valores!$C$99*B251&gt;Valores!$C$98,Valores!$C$98,Valores!$C$99*B251)</f>
        <v>32844.5</v>
      </c>
      <c r="AA251" s="125">
        <f>IF((Valores!$C$28)*B251&gt;Valores!$F$28,Valores!$F$28,(Valores!$C$28)*B251)</f>
        <v>845.26</v>
      </c>
      <c r="AB251" s="214">
        <v>0</v>
      </c>
      <c r="AC251" s="125">
        <f t="shared" si="34"/>
        <v>0</v>
      </c>
      <c r="AD251" s="125">
        <f>IF(Valores!$C$29*B251&gt;Valores!$F$29,Valores!$F$29,Valores!$C$29*B251)</f>
        <v>703.82</v>
      </c>
      <c r="AE251" s="192">
        <v>0</v>
      </c>
      <c r="AF251" s="125">
        <f>ROUND(AE251*Valores!$C$2,2)</f>
        <v>0</v>
      </c>
      <c r="AG251" s="125">
        <f>IF($F$4="NO",IF(Valores!$D$64*'Escala Docente'!B251&gt;Valores!$F$64,Valores!$F$64,Valores!$D$64*'Escala Docente'!B251),IF(Valores!$D$64*'Escala Docente'!B251&gt;Valores!$F$64,Valores!$F$64,Valores!$D$64*'Escala Docente'!B251)/2)+0.03</f>
        <v>16074.400000000001</v>
      </c>
      <c r="AH251" s="125">
        <f>SUM(F251,H251,J251,L251,M251,N251,O251,P251,Q251,R251,T251,U251,V251,X251,Y251,Z251,AA251,AC251,AD251,AF251,AG251)*Valores!$C$104</f>
        <v>25464.103000000003</v>
      </c>
      <c r="AI251" s="125">
        <f t="shared" si="37"/>
        <v>280105.13300000003</v>
      </c>
      <c r="AJ251" s="125">
        <f>IF(Valores!$C$33*B251&gt;Valores!$F$33,Valores!$F$33,Valores!$C$33*B251)</f>
        <v>30333.333333333288</v>
      </c>
      <c r="AK251" s="125">
        <v>0</v>
      </c>
      <c r="AL251" s="125">
        <f>IF(Valores!$C$92*B251&gt;Valores!$C$91,Valores!$C$91,Valores!$C$92*B251)</f>
        <v>0</v>
      </c>
      <c r="AM251" s="125">
        <f>IF(Valores!C$40*B251&gt;Valores!F$39,Valores!F$39,Valores!C$40*B251)</f>
        <v>0</v>
      </c>
      <c r="AN251" s="125">
        <f>IF($F$3="NO",0,IF(Valores!$C$63*B251&gt;Valores!$F$63,Valores!$F$63,Valores!$C$63*B251))</f>
        <v>0</v>
      </c>
      <c r="AO251" s="125">
        <f t="shared" si="35"/>
        <v>30333.333333333288</v>
      </c>
      <c r="AP251" s="125">
        <f>AI251*Valores!$C$72</f>
        <v>-30811.564630000004</v>
      </c>
      <c r="AQ251" s="125">
        <f>IF(AI251&lt;Valores!$E$73,-0.02,IF(AI251&lt;Valores!$F$73,-0.03,-0.04))*AI251</f>
        <v>-5602.1026600000005</v>
      </c>
      <c r="AR251" s="125">
        <f>AI251*Valores!$C$75</f>
        <v>-15405.782315000002</v>
      </c>
      <c r="AS251" s="125">
        <f>Valores!$C$102</f>
        <v>-1270.1600000000001</v>
      </c>
      <c r="AT251" s="125">
        <f>IF($F$5=0,Valores!$C$103,(Valores!$C$103+$F$5*(Valores!$C$103)))</f>
        <v>-3700</v>
      </c>
      <c r="AU251" s="125">
        <f t="shared" si="38"/>
        <v>253648.85672833331</v>
      </c>
      <c r="AV251" s="125">
        <f t="shared" si="32"/>
        <v>-30811.564630000004</v>
      </c>
      <c r="AW251" s="125">
        <f t="shared" si="39"/>
        <v>-5602.1026600000005</v>
      </c>
      <c r="AX251" s="125">
        <f>AI251*Valores!$C$76</f>
        <v>-7562.8385910000006</v>
      </c>
      <c r="AY251" s="125">
        <f>AI251*Valores!$C$77</f>
        <v>-840.31539900000007</v>
      </c>
      <c r="AZ251" s="125">
        <f t="shared" si="36"/>
        <v>265621.64505333337</v>
      </c>
      <c r="BA251" s="125">
        <f>AI251*Valores!$C$79</f>
        <v>44816.821280000004</v>
      </c>
      <c r="BB251" s="125">
        <f>AI251*Valores!$C$80</f>
        <v>19607.359310000003</v>
      </c>
      <c r="BC251" s="125">
        <f>AI251*Valores!$C$81</f>
        <v>2801.0513300000002</v>
      </c>
      <c r="BD251" s="125">
        <f>AI251*Valores!$C$83</f>
        <v>9803.6796550000017</v>
      </c>
      <c r="BE251" s="125">
        <f>AI251*Valores!$C$85</f>
        <v>15125.677182000001</v>
      </c>
      <c r="BF251" s="125">
        <f>AI251*Valores!$C$84</f>
        <v>1680.6307980000001</v>
      </c>
      <c r="BG251" s="126"/>
      <c r="BH251" s="126">
        <f t="shared" si="41"/>
        <v>13</v>
      </c>
      <c r="BI251" s="123" t="s">
        <v>4</v>
      </c>
    </row>
    <row r="252" spans="1:61" s="110" customFormat="1" ht="11.25" customHeight="1" x14ac:dyDescent="0.15">
      <c r="A252" s="123" t="s">
        <v>466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42"/>
        <v>1027</v>
      </c>
      <c r="F252" s="125">
        <f>ROUND(E252*Valores!$C$2,2)</f>
        <v>79691.81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27117.35</v>
      </c>
      <c r="N252" s="125">
        <f t="shared" si="33"/>
        <v>0</v>
      </c>
      <c r="O252" s="125">
        <f>Valores!$C$7*B252</f>
        <v>34207.81</v>
      </c>
      <c r="P252" s="125">
        <f>ROUND(IF(B252&lt;15,(Valores!$E$5*B252),Valores!$D$5),2)</f>
        <v>34378.5</v>
      </c>
      <c r="Q252" s="125">
        <v>0</v>
      </c>
      <c r="R252" s="125">
        <f>IF($F$4="NO",IF(Valores!$C$50*B252&gt;Valores!$F$47,Valores!$F$47,Valores!$C$50*B252),IF(Valores!$C$50*B252&gt;Valores!$F$47,Valores!$F$47,Valores!$C$50*B252)/2)</f>
        <v>18018.78</v>
      </c>
      <c r="S252" s="125">
        <f>Valores!$C$18*B252</f>
        <v>10758.800000000001</v>
      </c>
      <c r="T252" s="125">
        <f t="shared" si="40"/>
        <v>10758.8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IF(Valores!$C$99*B252&gt;Valores!$C$98,Valores!$C$98,Valores!$C$99*B252)</f>
        <v>32844.5</v>
      </c>
      <c r="AA252" s="125">
        <f>IF((Valores!$C$28)*B252&gt;Valores!$F$28,Valores!$F$28,(Valores!$C$28)*B252)</f>
        <v>845.26</v>
      </c>
      <c r="AB252" s="214">
        <v>0</v>
      </c>
      <c r="AC252" s="125">
        <f t="shared" si="34"/>
        <v>0</v>
      </c>
      <c r="AD252" s="125">
        <f>IF(Valores!$C$29*B252&gt;Valores!$F$29,Valores!$F$29,Valores!$C$29*B252)</f>
        <v>703.82</v>
      </c>
      <c r="AE252" s="192">
        <v>94</v>
      </c>
      <c r="AF252" s="125">
        <f>ROUND(AE252*Valores!$C$2,2)</f>
        <v>7294.09</v>
      </c>
      <c r="AG252" s="125">
        <f>IF($F$4="NO",IF(Valores!$D$64*'Escala Docente'!B252&gt;Valores!$F$64,Valores!$F$64,Valores!$D$64*'Escala Docente'!B252),IF(Valores!$D$64*'Escala Docente'!B252&gt;Valores!$F$64,Valores!$F$64,Valores!$D$64*'Escala Docente'!B252)/2)+0.03</f>
        <v>16074.400000000001</v>
      </c>
      <c r="AH252" s="125">
        <f>SUM(F252,H252,J252,L252,M252,N252,O252,P252,Q252,R252,T252,U252,V252,X252,Y252,Z252,AA252,AC252,AD252,AF252,AG252)*Valores!$C$104</f>
        <v>26193.512000000002</v>
      </c>
      <c r="AI252" s="125">
        <f t="shared" si="37"/>
        <v>288128.63199999998</v>
      </c>
      <c r="AJ252" s="125">
        <f>IF(Valores!$C$33*B252&gt;Valores!$F$33,Valores!$F$33,Valores!$C$33*B252)</f>
        <v>30333.333333333288</v>
      </c>
      <c r="AK252" s="125">
        <v>0</v>
      </c>
      <c r="AL252" s="125">
        <f>IF(Valores!$C$92*B252&gt;Valores!$C$91,Valores!$C$91,Valores!$C$92*B252)</f>
        <v>0</v>
      </c>
      <c r="AM252" s="125">
        <f>IF(Valores!C$40*B252&gt;Valores!F$39,Valores!F$39,Valores!C$40*B252)</f>
        <v>0</v>
      </c>
      <c r="AN252" s="125">
        <f>IF($F$3="NO",0,IF(Valores!$C$63*B252&gt;Valores!$F$63,Valores!$F$63,Valores!$C$63*B252))</f>
        <v>0</v>
      </c>
      <c r="AO252" s="125">
        <f t="shared" si="35"/>
        <v>30333.333333333288</v>
      </c>
      <c r="AP252" s="125">
        <f>AI252*Valores!$C$72</f>
        <v>-31694.149519999999</v>
      </c>
      <c r="AQ252" s="125">
        <f>IF(AI252&lt;Valores!$E$73,-0.02,IF(AI252&lt;Valores!$F$73,-0.03,-0.04))*AI252</f>
        <v>-5762.5726399999994</v>
      </c>
      <c r="AR252" s="125">
        <f>AI252*Valores!$C$75</f>
        <v>-15847.07476</v>
      </c>
      <c r="AS252" s="125">
        <f>Valores!$C$102</f>
        <v>-1270.1600000000001</v>
      </c>
      <c r="AT252" s="125">
        <f>IF($F$5=0,Valores!$C$103,(Valores!$C$103+$F$5*(Valores!$C$103)))</f>
        <v>-3700</v>
      </c>
      <c r="AU252" s="125">
        <f t="shared" si="38"/>
        <v>260188.00841333327</v>
      </c>
      <c r="AV252" s="125">
        <f t="shared" si="32"/>
        <v>-31694.149519999999</v>
      </c>
      <c r="AW252" s="125">
        <f t="shared" si="39"/>
        <v>-5762.5726399999994</v>
      </c>
      <c r="AX252" s="125">
        <f>AI252*Valores!$C$76</f>
        <v>-7779.4730639999998</v>
      </c>
      <c r="AY252" s="125">
        <f>AI252*Valores!$C$77</f>
        <v>-864.385896</v>
      </c>
      <c r="AZ252" s="125">
        <f t="shared" si="36"/>
        <v>272361.38421333331</v>
      </c>
      <c r="BA252" s="125">
        <f>AI252*Valores!$C$79</f>
        <v>46100.581119999995</v>
      </c>
      <c r="BB252" s="125">
        <f>AI252*Valores!$C$80</f>
        <v>20169.004240000002</v>
      </c>
      <c r="BC252" s="125">
        <f>AI252*Valores!$C$81</f>
        <v>2881.2863199999997</v>
      </c>
      <c r="BD252" s="125">
        <f>AI252*Valores!$C$83</f>
        <v>10084.502120000001</v>
      </c>
      <c r="BE252" s="125">
        <f>AI252*Valores!$C$85</f>
        <v>15558.946128</v>
      </c>
      <c r="BF252" s="125">
        <f>AI252*Valores!$C$84</f>
        <v>1728.771792</v>
      </c>
      <c r="BG252" s="126"/>
      <c r="BH252" s="126">
        <f t="shared" si="41"/>
        <v>13</v>
      </c>
      <c r="BI252" s="123" t="s">
        <v>4</v>
      </c>
    </row>
    <row r="253" spans="1:61" s="110" customFormat="1" ht="11.25" customHeight="1" x14ac:dyDescent="0.15">
      <c r="A253" s="123" t="s">
        <v>466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42"/>
        <v>1106</v>
      </c>
      <c r="F253" s="125">
        <f>ROUND(E253*Valores!$C$2,2)</f>
        <v>85821.95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29203.3</v>
      </c>
      <c r="N253" s="125">
        <f t="shared" si="33"/>
        <v>0</v>
      </c>
      <c r="O253" s="125">
        <f>Valores!$C$7*B253</f>
        <v>36839.18</v>
      </c>
      <c r="P253" s="125">
        <f>ROUND(IF(B253&lt;15,(Valores!$E$5*B253),Valores!$D$5),2)</f>
        <v>37023</v>
      </c>
      <c r="Q253" s="125">
        <v>0</v>
      </c>
      <c r="R253" s="125">
        <f>IF($F$4="NO",IF(Valores!$C$50*B253&gt;Valores!$F$47,Valores!$F$47,Valores!$C$50*B253),IF(Valores!$C$50*B253&gt;Valores!$F$47,Valores!$F$47,Valores!$C$50*B253)/2)</f>
        <v>19404.84</v>
      </c>
      <c r="S253" s="125">
        <f>Valores!$C$18*B253</f>
        <v>11586.4</v>
      </c>
      <c r="T253" s="125">
        <f t="shared" si="40"/>
        <v>11586.4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IF(Valores!$C$99*B253&gt;Valores!$C$98,Valores!$C$98,Valores!$C$99*B253)</f>
        <v>35371</v>
      </c>
      <c r="AA253" s="125">
        <f>IF((Valores!$C$28)*B253&gt;Valores!$F$28,Valores!$F$28,(Valores!$C$28)*B253)</f>
        <v>910.28</v>
      </c>
      <c r="AB253" s="214">
        <v>0</v>
      </c>
      <c r="AC253" s="125">
        <f t="shared" si="34"/>
        <v>0</v>
      </c>
      <c r="AD253" s="125">
        <f>IF(Valores!$C$29*B253&gt;Valores!$F$29,Valores!$F$29,Valores!$C$29*B253)</f>
        <v>757.96</v>
      </c>
      <c r="AE253" s="192">
        <v>0</v>
      </c>
      <c r="AF253" s="125">
        <f>ROUND(AE253*Valores!$C$2,2)</f>
        <v>0</v>
      </c>
      <c r="AG253" s="125">
        <f>IF($F$4="NO",IF(Valores!$D$64*'Escala Docente'!B253&gt;Valores!$F$64,Valores!$F$64,Valores!$D$64*'Escala Docente'!B253),IF(Valores!$D$64*'Escala Docente'!B253&gt;Valores!$F$64,Valores!$F$64,Valores!$D$64*'Escala Docente'!B253)/2)+0.03</f>
        <v>17310.89</v>
      </c>
      <c r="AH253" s="125">
        <f>SUM(F253,H253,J253,L253,M253,N253,O253,P253,Q253,R253,T253,U253,V253,X253,Y253,Z253,AA253,AC253,AD253,AF253,AG253)*Valores!$C$104</f>
        <v>27422.880000000001</v>
      </c>
      <c r="AI253" s="125">
        <f t="shared" si="37"/>
        <v>301651.68</v>
      </c>
      <c r="AJ253" s="125">
        <f>IF(Valores!$C$33*B253&gt;Valores!$F$33,Valores!$F$33,Valores!$C$33*B253)</f>
        <v>32666.666666666617</v>
      </c>
      <c r="AK253" s="125">
        <v>0</v>
      </c>
      <c r="AL253" s="125">
        <f>IF(Valores!$C$92*B253&gt;Valores!$C$91,Valores!$C$91,Valores!$C$92*B253)</f>
        <v>0</v>
      </c>
      <c r="AM253" s="125">
        <f>IF(Valores!C$40*B253&gt;Valores!F$39,Valores!F$39,Valores!C$40*B253)</f>
        <v>0</v>
      </c>
      <c r="AN253" s="125">
        <f>IF($F$3="NO",0,IF(Valores!$C$63*B253&gt;Valores!$F$63,Valores!$F$63,Valores!$C$63*B253))</f>
        <v>0</v>
      </c>
      <c r="AO253" s="125">
        <f t="shared" si="35"/>
        <v>32666.666666666617</v>
      </c>
      <c r="AP253" s="125">
        <f>AI253*Valores!$C$72</f>
        <v>-33181.684800000003</v>
      </c>
      <c r="AQ253" s="125">
        <f>IF(AI253&lt;Valores!$E$73,-0.02,IF(AI253&lt;Valores!$F$73,-0.03,-0.04))*AI253</f>
        <v>-6033.0335999999998</v>
      </c>
      <c r="AR253" s="125">
        <f>AI253*Valores!$C$75</f>
        <v>-16590.842400000001</v>
      </c>
      <c r="AS253" s="125">
        <f>Valores!$C$102</f>
        <v>-1270.1600000000001</v>
      </c>
      <c r="AT253" s="125">
        <f>IF($F$5=0,Valores!$C$103,(Valores!$C$103+$F$5*(Valores!$C$103)))</f>
        <v>-3700</v>
      </c>
      <c r="AU253" s="125">
        <f t="shared" si="38"/>
        <v>273542.62586666661</v>
      </c>
      <c r="AV253" s="125">
        <f t="shared" si="32"/>
        <v>-33181.684800000003</v>
      </c>
      <c r="AW253" s="125">
        <f t="shared" si="39"/>
        <v>-6033.0335999999998</v>
      </c>
      <c r="AX253" s="125">
        <f>AI253*Valores!$C$76</f>
        <v>-8144.5953599999993</v>
      </c>
      <c r="AY253" s="125">
        <f>AI253*Valores!$C$77</f>
        <v>-904.95504000000005</v>
      </c>
      <c r="AZ253" s="125">
        <f t="shared" si="36"/>
        <v>286054.0778666666</v>
      </c>
      <c r="BA253" s="125">
        <f>AI253*Valores!$C$79</f>
        <v>48264.268799999998</v>
      </c>
      <c r="BB253" s="125">
        <f>AI253*Valores!$C$80</f>
        <v>21115.617600000001</v>
      </c>
      <c r="BC253" s="125">
        <f>AI253*Valores!$C$81</f>
        <v>3016.5167999999999</v>
      </c>
      <c r="BD253" s="125">
        <f>AI253*Valores!$C$83</f>
        <v>10557.808800000001</v>
      </c>
      <c r="BE253" s="125">
        <f>AI253*Valores!$C$85</f>
        <v>16289.190719999999</v>
      </c>
      <c r="BF253" s="125">
        <f>AI253*Valores!$C$84</f>
        <v>1809.9100800000001</v>
      </c>
      <c r="BG253" s="126"/>
      <c r="BH253" s="126">
        <f t="shared" si="41"/>
        <v>14</v>
      </c>
      <c r="BI253" s="123" t="s">
        <v>4</v>
      </c>
    </row>
    <row r="254" spans="1:61" s="110" customFormat="1" ht="11.25" customHeight="1" x14ac:dyDescent="0.15">
      <c r="A254" s="123" t="s">
        <v>466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42"/>
        <v>1106</v>
      </c>
      <c r="F254" s="125">
        <f>ROUND(E254*Valores!$C$2,2)</f>
        <v>85821.95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29203.3</v>
      </c>
      <c r="N254" s="125">
        <f t="shared" si="33"/>
        <v>0</v>
      </c>
      <c r="O254" s="125">
        <f>Valores!$C$7*B254</f>
        <v>36839.18</v>
      </c>
      <c r="P254" s="125">
        <f>ROUND(IF(B254&lt;15,(Valores!$E$5*B254),Valores!$D$5),2)</f>
        <v>37023</v>
      </c>
      <c r="Q254" s="125">
        <v>0</v>
      </c>
      <c r="R254" s="125">
        <f>IF($F$4="NO",IF(Valores!$C$50*B254&gt;Valores!$F$47,Valores!$F$47,Valores!$C$50*B254),IF(Valores!$C$50*B254&gt;Valores!$F$47,Valores!$F$47,Valores!$C$50*B254)/2)</f>
        <v>19404.84</v>
      </c>
      <c r="S254" s="125">
        <f>Valores!$C$18*B254</f>
        <v>11586.4</v>
      </c>
      <c r="T254" s="125">
        <f t="shared" si="40"/>
        <v>11586.4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IF(Valores!$C$99*B254&gt;Valores!$C$98,Valores!$C$98,Valores!$C$99*B254)</f>
        <v>35371</v>
      </c>
      <c r="AA254" s="125">
        <f>IF((Valores!$C$28)*B254&gt;Valores!$F$28,Valores!$F$28,(Valores!$C$28)*B254)</f>
        <v>910.28</v>
      </c>
      <c r="AB254" s="214">
        <v>0</v>
      </c>
      <c r="AC254" s="125">
        <f t="shared" si="34"/>
        <v>0</v>
      </c>
      <c r="AD254" s="125">
        <f>IF(Valores!$C$29*B254&gt;Valores!$F$29,Valores!$F$29,Valores!$C$29*B254)</f>
        <v>757.96</v>
      </c>
      <c r="AE254" s="192">
        <v>94</v>
      </c>
      <c r="AF254" s="125">
        <f>ROUND(AE254*Valores!$C$2,2)</f>
        <v>7294.09</v>
      </c>
      <c r="AG254" s="125">
        <f>IF($F$4="NO",IF(Valores!$D$64*'Escala Docente'!B254&gt;Valores!$F$64,Valores!$F$64,Valores!$D$64*'Escala Docente'!B254),IF(Valores!$D$64*'Escala Docente'!B254&gt;Valores!$F$64,Valores!$F$64,Valores!$D$64*'Escala Docente'!B254)/2)+0.03</f>
        <v>17310.89</v>
      </c>
      <c r="AH254" s="125">
        <f>SUM(F254,H254,J254,L254,M254,N254,O254,P254,Q254,R254,T254,U254,V254,X254,Y254,Z254,AA254,AC254,AD254,AF254,AG254)*Valores!$C$104</f>
        <v>28152.289000000004</v>
      </c>
      <c r="AI254" s="125">
        <f t="shared" si="37"/>
        <v>309675.179</v>
      </c>
      <c r="AJ254" s="125">
        <f>IF(Valores!$C$33*B254&gt;Valores!$F$33,Valores!$F$33,Valores!$C$33*B254)</f>
        <v>32666.666666666617</v>
      </c>
      <c r="AK254" s="125">
        <v>0</v>
      </c>
      <c r="AL254" s="125">
        <f>IF(Valores!$C$92*B254&gt;Valores!$C$91,Valores!$C$91,Valores!$C$92*B254)</f>
        <v>0</v>
      </c>
      <c r="AM254" s="125">
        <f>IF(Valores!C$40*B254&gt;Valores!F$39,Valores!F$39,Valores!C$40*B254)</f>
        <v>0</v>
      </c>
      <c r="AN254" s="125">
        <f>IF($F$3="NO",0,IF(Valores!$C$63*B254&gt;Valores!$F$63,Valores!$F$63,Valores!$C$63*B254))</f>
        <v>0</v>
      </c>
      <c r="AO254" s="125">
        <f t="shared" si="35"/>
        <v>32666.666666666617</v>
      </c>
      <c r="AP254" s="125">
        <f>AI254*Valores!$C$72</f>
        <v>-34064.269690000001</v>
      </c>
      <c r="AQ254" s="125">
        <f>IF(AI254&lt;Valores!$E$73,-0.02,IF(AI254&lt;Valores!$F$73,-0.03,-0.04))*AI254</f>
        <v>-6193.5035800000005</v>
      </c>
      <c r="AR254" s="125">
        <f>AI254*Valores!$C$75</f>
        <v>-17032.134845</v>
      </c>
      <c r="AS254" s="125">
        <f>Valores!$C$102</f>
        <v>-1270.1600000000001</v>
      </c>
      <c r="AT254" s="125">
        <f>IF($F$5=0,Valores!$C$103,(Valores!$C$103+$F$5*(Valores!$C$103)))</f>
        <v>-3700</v>
      </c>
      <c r="AU254" s="125">
        <f t="shared" si="38"/>
        <v>280081.7775516666</v>
      </c>
      <c r="AV254" s="125">
        <f t="shared" si="32"/>
        <v>-34064.269690000001</v>
      </c>
      <c r="AW254" s="125">
        <f t="shared" si="39"/>
        <v>-6193.5035800000005</v>
      </c>
      <c r="AX254" s="125">
        <f>AI254*Valores!$C$76</f>
        <v>-8361.2298329999994</v>
      </c>
      <c r="AY254" s="125">
        <f>AI254*Valores!$C$77</f>
        <v>-929.02553699999999</v>
      </c>
      <c r="AZ254" s="125">
        <f t="shared" si="36"/>
        <v>292793.8170266666</v>
      </c>
      <c r="BA254" s="125">
        <f>AI254*Valores!$C$79</f>
        <v>49548.028640000004</v>
      </c>
      <c r="BB254" s="125">
        <f>AI254*Valores!$C$80</f>
        <v>21677.262530000004</v>
      </c>
      <c r="BC254" s="125">
        <f>AI254*Valores!$C$81</f>
        <v>3096.7517900000003</v>
      </c>
      <c r="BD254" s="125">
        <f>AI254*Valores!$C$83</f>
        <v>10838.631265000002</v>
      </c>
      <c r="BE254" s="125">
        <f>AI254*Valores!$C$85</f>
        <v>16722.459665999999</v>
      </c>
      <c r="BF254" s="125">
        <f>AI254*Valores!$C$84</f>
        <v>1858.051074</v>
      </c>
      <c r="BG254" s="126"/>
      <c r="BH254" s="126">
        <f t="shared" si="41"/>
        <v>14</v>
      </c>
      <c r="BI254" s="123" t="s">
        <v>4</v>
      </c>
    </row>
    <row r="255" spans="1:61" s="110" customFormat="1" ht="11.25" customHeight="1" x14ac:dyDescent="0.15">
      <c r="A255" s="123" t="s">
        <v>466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42"/>
        <v>1185</v>
      </c>
      <c r="F255" s="125">
        <f>ROUND(E255*Valores!$C$2,2)</f>
        <v>91952.09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31289.25</v>
      </c>
      <c r="N255" s="125">
        <f t="shared" si="33"/>
        <v>0</v>
      </c>
      <c r="O255" s="125">
        <f>Valores!$C$7*B255</f>
        <v>39470.549999999996</v>
      </c>
      <c r="P255" s="125">
        <f>ROUND(IF(B255&lt;15,(Valores!$E$5*B255),Valores!$D$5),2)</f>
        <v>39667.43</v>
      </c>
      <c r="Q255" s="125">
        <v>0</v>
      </c>
      <c r="R255" s="125">
        <f>IF($F$4="NO",IF(Valores!$C$50*B255&gt;Valores!$F$47,Valores!$F$47,Valores!$C$50*B255),IF(Valores!$C$50*B255&gt;Valores!$F$47,Valores!$F$47,Valores!$C$50*B255)/2)</f>
        <v>20790.899999999998</v>
      </c>
      <c r="S255" s="125">
        <f>Valores!$C$18*B255</f>
        <v>12414</v>
      </c>
      <c r="T255" s="125">
        <f t="shared" si="40"/>
        <v>12414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IF(Valores!$C$99*B255&gt;Valores!$C$98,Valores!$C$98,Valores!$C$99*B255)</f>
        <v>37897.5</v>
      </c>
      <c r="AA255" s="125">
        <f>IF((Valores!$C$28)*B255&gt;Valores!$F$28,Valores!$F$28,(Valores!$C$28)*B255)</f>
        <v>975.3</v>
      </c>
      <c r="AB255" s="214">
        <v>0</v>
      </c>
      <c r="AC255" s="125">
        <f t="shared" si="34"/>
        <v>0</v>
      </c>
      <c r="AD255" s="125">
        <f>IF(Valores!$C$29*B255&gt;Valores!$F$29,Valores!$F$29,Valores!$C$29*B255)</f>
        <v>812.1</v>
      </c>
      <c r="AE255" s="192">
        <v>0</v>
      </c>
      <c r="AF255" s="125">
        <f>ROUND(AE255*Valores!$C$2,2)</f>
        <v>0</v>
      </c>
      <c r="AG255" s="125">
        <f>IF($F$4="NO",IF(Valores!$D$64*'Escala Docente'!B255&gt;Valores!$F$64,Valores!$F$64,Valores!$D$64*'Escala Docente'!B255),IF(Valores!$D$64*'Escala Docente'!B255&gt;Valores!$F$64,Valores!$F$64,Valores!$D$64*'Escala Docente'!B255)/2)+0.03</f>
        <v>18547.379999999997</v>
      </c>
      <c r="AH255" s="125">
        <f>SUM(F255,H255,J255,L255,M255,N255,O255,P255,Q255,R255,T255,U255,V255,X255,Y255,Z255,AA255,AC255,AD255,AF255,AG255)*Valores!$C$104</f>
        <v>29381.649999999994</v>
      </c>
      <c r="AI255" s="125">
        <f t="shared" si="37"/>
        <v>323198.14999999991</v>
      </c>
      <c r="AJ255" s="125">
        <f>IF(Valores!$C$33*B255&gt;Valores!$F$33,Valores!$F$33,Valores!$C$33*B255)</f>
        <v>34999.999999999949</v>
      </c>
      <c r="AK255" s="125">
        <v>0</v>
      </c>
      <c r="AL255" s="125">
        <f>IF(Valores!$C$92*B255&gt;Valores!$C$91,Valores!$C$91,Valores!$C$92*B255)</f>
        <v>0</v>
      </c>
      <c r="AM255" s="125">
        <f>IF(Valores!C$40*B255&gt;Valores!F$39,Valores!F$39,Valores!C$40*B255)</f>
        <v>0</v>
      </c>
      <c r="AN255" s="125">
        <f>IF($F$3="NO",0,IF(Valores!$C$63*B255&gt;Valores!$F$63,Valores!$F$63,Valores!$C$63*B255))</f>
        <v>0</v>
      </c>
      <c r="AO255" s="125">
        <f t="shared" si="35"/>
        <v>34999.999999999949</v>
      </c>
      <c r="AP255" s="125">
        <f>AI255*Valores!$C$72</f>
        <v>-35551.796499999989</v>
      </c>
      <c r="AQ255" s="125">
        <f>IF(AI255&lt;Valores!$E$73,-0.02,IF(AI255&lt;Valores!$F$73,-0.03,-0.04))*AI255</f>
        <v>-6463.9629999999979</v>
      </c>
      <c r="AR255" s="125">
        <f>AI255*Valores!$C$75</f>
        <v>-17775.898249999995</v>
      </c>
      <c r="AS255" s="125">
        <f>Valores!$C$102</f>
        <v>-1270.1600000000001</v>
      </c>
      <c r="AT255" s="125">
        <f>IF($F$5=0,Valores!$C$103,(Valores!$C$103+$F$5*(Valores!$C$103)))</f>
        <v>-3700</v>
      </c>
      <c r="AU255" s="125">
        <f t="shared" si="38"/>
        <v>293436.33224999986</v>
      </c>
      <c r="AV255" s="125">
        <f t="shared" si="32"/>
        <v>-35551.796499999989</v>
      </c>
      <c r="AW255" s="125">
        <f t="shared" si="39"/>
        <v>-6463.9629999999979</v>
      </c>
      <c r="AX255" s="125">
        <f>AI255*Valores!$C$76</f>
        <v>-8726.3500499999973</v>
      </c>
      <c r="AY255" s="125">
        <f>AI255*Valores!$C$77</f>
        <v>-969.59444999999971</v>
      </c>
      <c r="AZ255" s="125">
        <f t="shared" si="36"/>
        <v>306486.44599999988</v>
      </c>
      <c r="BA255" s="125">
        <f>AI255*Valores!$C$79</f>
        <v>51711.703999999983</v>
      </c>
      <c r="BB255" s="125">
        <f>AI255*Valores!$C$80</f>
        <v>22623.870499999997</v>
      </c>
      <c r="BC255" s="125">
        <f>AI255*Valores!$C$81</f>
        <v>3231.981499999999</v>
      </c>
      <c r="BD255" s="125">
        <f>AI255*Valores!$C$83</f>
        <v>11311.935249999999</v>
      </c>
      <c r="BE255" s="125">
        <f>AI255*Valores!$C$85</f>
        <v>17452.700099999995</v>
      </c>
      <c r="BF255" s="125">
        <f>AI255*Valores!$C$84</f>
        <v>1939.1888999999994</v>
      </c>
      <c r="BG255" s="126"/>
      <c r="BH255" s="126">
        <f t="shared" ref="BH255:BH286" si="43">1*B255</f>
        <v>15</v>
      </c>
      <c r="BI255" s="123" t="s">
        <v>4</v>
      </c>
    </row>
    <row r="256" spans="1:61" s="110" customFormat="1" ht="11.25" customHeight="1" x14ac:dyDescent="0.15">
      <c r="A256" s="123" t="s">
        <v>466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42"/>
        <v>1185</v>
      </c>
      <c r="F256" s="125">
        <f>ROUND(E256*Valores!$C$2,2)</f>
        <v>91952.09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31289.25</v>
      </c>
      <c r="N256" s="125">
        <f t="shared" si="33"/>
        <v>0</v>
      </c>
      <c r="O256" s="125">
        <f>Valores!$C$7*B256</f>
        <v>39470.549999999996</v>
      </c>
      <c r="P256" s="125">
        <f>ROUND(IF(B256&lt;15,(Valores!$E$5*B256),Valores!$D$5),2)</f>
        <v>39667.43</v>
      </c>
      <c r="Q256" s="125">
        <v>0</v>
      </c>
      <c r="R256" s="125">
        <f>IF($F$4="NO",IF(Valores!$C$50*B256&gt;Valores!$F$47,Valores!$F$47,Valores!$C$50*B256),IF(Valores!$C$50*B256&gt;Valores!$F$47,Valores!$F$47,Valores!$C$50*B256)/2)</f>
        <v>20790.899999999998</v>
      </c>
      <c r="S256" s="125">
        <f>Valores!$C$18*B256</f>
        <v>12414</v>
      </c>
      <c r="T256" s="125">
        <f t="shared" si="40"/>
        <v>12414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IF(Valores!$C$99*B256&gt;Valores!$C$98,Valores!$C$98,Valores!$C$99*B256)</f>
        <v>37897.5</v>
      </c>
      <c r="AA256" s="125">
        <f>IF((Valores!$C$28)*B256&gt;Valores!$F$28,Valores!$F$28,(Valores!$C$28)*B256)</f>
        <v>975.3</v>
      </c>
      <c r="AB256" s="214">
        <v>0</v>
      </c>
      <c r="AC256" s="125">
        <f t="shared" si="34"/>
        <v>0</v>
      </c>
      <c r="AD256" s="125">
        <f>IF(Valores!$C$29*B256&gt;Valores!$F$29,Valores!$F$29,Valores!$C$29*B256)</f>
        <v>812.1</v>
      </c>
      <c r="AE256" s="192">
        <v>94</v>
      </c>
      <c r="AF256" s="125">
        <f>ROUND(AE256*Valores!$C$2,2)</f>
        <v>7294.09</v>
      </c>
      <c r="AG256" s="125">
        <f>IF($F$4="NO",IF(Valores!$D$64*'Escala Docente'!B256&gt;Valores!$F$64,Valores!$F$64,Valores!$D$64*'Escala Docente'!B256),IF(Valores!$D$64*'Escala Docente'!B256&gt;Valores!$F$64,Valores!$F$64,Valores!$D$64*'Escala Docente'!B256)/2)+0.03</f>
        <v>18547.379999999997</v>
      </c>
      <c r="AH256" s="125">
        <f>SUM(F256,H256,J256,L256,M256,N256,O256,P256,Q256,R256,T256,U256,V256,X256,Y256,Z256,AA256,AC256,AD256,AF256,AG256)*Valores!$C$104</f>
        <v>30111.058999999997</v>
      </c>
      <c r="AI256" s="125">
        <f t="shared" si="37"/>
        <v>331221.64899999998</v>
      </c>
      <c r="AJ256" s="125">
        <f>IF(Valores!$C$33*B256&gt;Valores!$F$33,Valores!$F$33,Valores!$C$33*B256)</f>
        <v>34999.999999999949</v>
      </c>
      <c r="AK256" s="125">
        <v>0</v>
      </c>
      <c r="AL256" s="125">
        <f>IF(Valores!$C$92*B256&gt;Valores!$C$91,Valores!$C$91,Valores!$C$92*B256)</f>
        <v>0</v>
      </c>
      <c r="AM256" s="125">
        <f>IF(Valores!C$40*B256&gt;Valores!F$39,Valores!F$39,Valores!C$40*B256)</f>
        <v>0</v>
      </c>
      <c r="AN256" s="125">
        <f>IF($F$3="NO",0,IF(Valores!$C$63*B256&gt;Valores!$F$63,Valores!$F$63,Valores!$C$63*B256))</f>
        <v>0</v>
      </c>
      <c r="AO256" s="125">
        <f t="shared" si="35"/>
        <v>34999.999999999949</v>
      </c>
      <c r="AP256" s="125">
        <f>AI256*Valores!$C$72</f>
        <v>-36434.381389999995</v>
      </c>
      <c r="AQ256" s="125">
        <f>IF(AI256&lt;Valores!$E$73,-0.02,IF(AI256&lt;Valores!$F$73,-0.03,-0.04))*AI256</f>
        <v>-6624.4329799999996</v>
      </c>
      <c r="AR256" s="125">
        <f>AI256*Valores!$C$75</f>
        <v>-18217.190694999998</v>
      </c>
      <c r="AS256" s="125">
        <f>Valores!$C$102</f>
        <v>-1270.1600000000001</v>
      </c>
      <c r="AT256" s="125">
        <f>IF($F$5=0,Valores!$C$103,(Valores!$C$103+$F$5*(Valores!$C$103)))</f>
        <v>-3700</v>
      </c>
      <c r="AU256" s="125">
        <f t="shared" si="38"/>
        <v>299975.48393499991</v>
      </c>
      <c r="AV256" s="125">
        <f t="shared" si="32"/>
        <v>-36434.381389999995</v>
      </c>
      <c r="AW256" s="125">
        <f t="shared" si="39"/>
        <v>-6624.4329799999996</v>
      </c>
      <c r="AX256" s="125">
        <f>AI256*Valores!$C$76</f>
        <v>-8942.9845229999992</v>
      </c>
      <c r="AY256" s="125">
        <f>AI256*Valores!$C$77</f>
        <v>-993.66494699999998</v>
      </c>
      <c r="AZ256" s="125">
        <f t="shared" si="36"/>
        <v>313226.18515999994</v>
      </c>
      <c r="BA256" s="125">
        <f>AI256*Valores!$C$79</f>
        <v>52995.463839999997</v>
      </c>
      <c r="BB256" s="125">
        <f>AI256*Valores!$C$80</f>
        <v>23185.515429999999</v>
      </c>
      <c r="BC256" s="125">
        <f>AI256*Valores!$C$81</f>
        <v>3312.2164899999998</v>
      </c>
      <c r="BD256" s="125">
        <f>AI256*Valores!$C$83</f>
        <v>11592.757715</v>
      </c>
      <c r="BE256" s="125">
        <f>AI256*Valores!$C$85</f>
        <v>17885.969045999998</v>
      </c>
      <c r="BF256" s="125">
        <f>AI256*Valores!$C$84</f>
        <v>1987.329894</v>
      </c>
      <c r="BG256" s="126"/>
      <c r="BH256" s="126">
        <f t="shared" si="43"/>
        <v>15</v>
      </c>
      <c r="BI256" s="123" t="s">
        <v>4</v>
      </c>
    </row>
    <row r="257" spans="1:61" s="110" customFormat="1" ht="11.25" customHeight="1" x14ac:dyDescent="0.15">
      <c r="A257" s="123" t="s">
        <v>466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42"/>
        <v>1264</v>
      </c>
      <c r="F257" s="125">
        <f>ROUND(E257*Valores!$C$2,2)</f>
        <v>98082.23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33375.199999999997</v>
      </c>
      <c r="N257" s="125">
        <f t="shared" si="33"/>
        <v>0</v>
      </c>
      <c r="O257" s="125">
        <f>Valores!$C$7*B257</f>
        <v>42101.919999999998</v>
      </c>
      <c r="P257" s="125">
        <f>ROUND(IF(B257&lt;15,(Valores!$E$5*B257),Valores!$D$5),2)</f>
        <v>39667.43</v>
      </c>
      <c r="Q257" s="125">
        <v>0</v>
      </c>
      <c r="R257" s="125">
        <f>IF($F$4="NO",IF(Valores!$C$50*B257&gt;Valores!$F$47,Valores!$F$47,Valores!$C$50*B257),IF(Valores!$C$50*B257&gt;Valores!$F$47,Valores!$F$47,Valores!$C$50*B257)/2)</f>
        <v>22176.959999999999</v>
      </c>
      <c r="S257" s="125">
        <f>Valores!$C$18*B257</f>
        <v>13241.6</v>
      </c>
      <c r="T257" s="125">
        <f t="shared" si="40"/>
        <v>13241.6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IF(Valores!$C$99*B257&gt;Valores!$C$98,Valores!$C$98,Valores!$C$99*B257)</f>
        <v>40424</v>
      </c>
      <c r="AA257" s="125">
        <f>IF((Valores!$C$28)*B257&gt;Valores!$F$28,Valores!$F$28,(Valores!$C$28)*B257)</f>
        <v>1040.32</v>
      </c>
      <c r="AB257" s="214">
        <v>0</v>
      </c>
      <c r="AC257" s="125">
        <f t="shared" si="34"/>
        <v>0</v>
      </c>
      <c r="AD257" s="125">
        <f>IF(Valores!$C$29*B257&gt;Valores!$F$29,Valores!$F$29,Valores!$C$29*B257)</f>
        <v>866.24</v>
      </c>
      <c r="AE257" s="192">
        <v>0</v>
      </c>
      <c r="AF257" s="125">
        <f>ROUND(AE257*Valores!$C$2,2)</f>
        <v>0</v>
      </c>
      <c r="AG257" s="125">
        <f>IF($F$4="NO",IF(Valores!$D$64*'Escala Docente'!B257&gt;Valores!$F$64,Valores!$F$64,Valores!$D$64*'Escala Docente'!B257),IF(Valores!$D$64*'Escala Docente'!B257&gt;Valores!$F$64,Valores!$F$64,Valores!$D$64*'Escala Docente'!B257)/2)+0.03</f>
        <v>19783.87</v>
      </c>
      <c r="AH257" s="125">
        <f>SUM(F257,H257,J257,L257,M257,N257,O257,P257,Q257,R257,T257,U257,V257,X257,Y257,Z257,AA257,AC257,AD257,AF257,AG257)*Valores!$C$104</f>
        <v>31075.976999999999</v>
      </c>
      <c r="AI257" s="125">
        <f t="shared" si="37"/>
        <v>341835.74699999997</v>
      </c>
      <c r="AJ257" s="125">
        <f>IF(Valores!$C$33*B257&gt;Valores!$F$33,Valores!$F$33,Valores!$C$33*B257)</f>
        <v>37333.333333333278</v>
      </c>
      <c r="AK257" s="125">
        <v>0</v>
      </c>
      <c r="AL257" s="125">
        <f>IF(Valores!$C$92*B257&gt;Valores!$C$91,Valores!$C$91,Valores!$C$92*B257)</f>
        <v>0</v>
      </c>
      <c r="AM257" s="125">
        <f>IF(Valores!C$40*B257&gt;Valores!F$39,Valores!F$39,Valores!C$40*B257)</f>
        <v>0</v>
      </c>
      <c r="AN257" s="125">
        <f>IF($F$3="NO",0,IF(Valores!$C$63*B257&gt;Valores!$F$63,Valores!$F$63,Valores!$C$63*B257))</f>
        <v>0</v>
      </c>
      <c r="AO257" s="125">
        <f t="shared" si="35"/>
        <v>37333.333333333278</v>
      </c>
      <c r="AP257" s="125">
        <f>AI257*Valores!$C$72</f>
        <v>-37601.93217</v>
      </c>
      <c r="AQ257" s="125">
        <f>IF(AI257&lt;Valores!$E$73,-0.02,IF(AI257&lt;Valores!$F$73,-0.03,-0.04))*AI257</f>
        <v>-6836.7149399999998</v>
      </c>
      <c r="AR257" s="125">
        <f>AI257*Valores!$C$75</f>
        <v>-18800.966085</v>
      </c>
      <c r="AS257" s="125">
        <f>Valores!$C$102</f>
        <v>-1270.1600000000001</v>
      </c>
      <c r="AT257" s="125">
        <f>IF($F$5=0,Valores!$C$103,(Valores!$C$103+$F$5*(Valores!$C$103)))</f>
        <v>-3700</v>
      </c>
      <c r="AU257" s="125">
        <f t="shared" si="38"/>
        <v>310959.30713833327</v>
      </c>
      <c r="AV257" s="125">
        <f t="shared" si="32"/>
        <v>-37601.93217</v>
      </c>
      <c r="AW257" s="125">
        <f t="shared" si="39"/>
        <v>-6836.7149399999998</v>
      </c>
      <c r="AX257" s="125">
        <f>AI257*Valores!$C$76</f>
        <v>-9229.5651689999995</v>
      </c>
      <c r="AY257" s="125">
        <f>AI257*Valores!$C$77</f>
        <v>-1025.507241</v>
      </c>
      <c r="AZ257" s="125">
        <f t="shared" si="36"/>
        <v>324475.36081333325</v>
      </c>
      <c r="BA257" s="125">
        <f>AI257*Valores!$C$79</f>
        <v>54693.719519999999</v>
      </c>
      <c r="BB257" s="125">
        <f>AI257*Valores!$C$80</f>
        <v>23928.50229</v>
      </c>
      <c r="BC257" s="125">
        <f>AI257*Valores!$C$81</f>
        <v>3418.3574699999999</v>
      </c>
      <c r="BD257" s="125">
        <f>AI257*Valores!$C$83</f>
        <v>11964.251145</v>
      </c>
      <c r="BE257" s="125">
        <f>AI257*Valores!$C$85</f>
        <v>18459.130337999999</v>
      </c>
      <c r="BF257" s="125">
        <f>AI257*Valores!$C$84</f>
        <v>2051.014482</v>
      </c>
      <c r="BG257" s="126"/>
      <c r="BH257" s="126">
        <f t="shared" si="43"/>
        <v>16</v>
      </c>
      <c r="BI257" s="123" t="s">
        <v>4</v>
      </c>
    </row>
    <row r="258" spans="1:61" s="110" customFormat="1" ht="11.25" customHeight="1" x14ac:dyDescent="0.15">
      <c r="A258" s="123" t="s">
        <v>466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42"/>
        <v>1264</v>
      </c>
      <c r="F258" s="125">
        <f>ROUND(E258*Valores!$C$2,2)</f>
        <v>98082.23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33375.199999999997</v>
      </c>
      <c r="N258" s="125">
        <f t="shared" si="33"/>
        <v>0</v>
      </c>
      <c r="O258" s="125">
        <f>Valores!$C$7*B258</f>
        <v>42101.919999999998</v>
      </c>
      <c r="P258" s="125">
        <f>ROUND(IF(B258&lt;15,(Valores!$E$5*B258),Valores!$D$5),2)</f>
        <v>39667.43</v>
      </c>
      <c r="Q258" s="125">
        <v>0</v>
      </c>
      <c r="R258" s="125">
        <f>IF($F$4="NO",IF(Valores!$C$50*B258&gt;Valores!$F$47,Valores!$F$47,Valores!$C$50*B258),IF(Valores!$C$50*B258&gt;Valores!$F$47,Valores!$F$47,Valores!$C$50*B258)/2)</f>
        <v>22176.959999999999</v>
      </c>
      <c r="S258" s="125">
        <f>Valores!$C$18*B258</f>
        <v>13241.6</v>
      </c>
      <c r="T258" s="125">
        <f t="shared" si="40"/>
        <v>13241.6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IF(Valores!$C$99*B258&gt;Valores!$C$98,Valores!$C$98,Valores!$C$99*B258)</f>
        <v>40424</v>
      </c>
      <c r="AA258" s="125">
        <f>IF((Valores!$C$28)*B258&gt;Valores!$F$28,Valores!$F$28,(Valores!$C$28)*B258)</f>
        <v>1040.32</v>
      </c>
      <c r="AB258" s="214">
        <v>0</v>
      </c>
      <c r="AC258" s="125">
        <f t="shared" si="34"/>
        <v>0</v>
      </c>
      <c r="AD258" s="125">
        <f>IF(Valores!$C$29*B258&gt;Valores!$F$29,Valores!$F$29,Valores!$C$29*B258)</f>
        <v>866.24</v>
      </c>
      <c r="AE258" s="192">
        <v>94</v>
      </c>
      <c r="AF258" s="125">
        <f>ROUND(AE258*Valores!$C$2,2)</f>
        <v>7294.09</v>
      </c>
      <c r="AG258" s="125">
        <f>IF($F$4="NO",IF(Valores!$D$64*'Escala Docente'!B258&gt;Valores!$F$64,Valores!$F$64,Valores!$D$64*'Escala Docente'!B258),IF(Valores!$D$64*'Escala Docente'!B258&gt;Valores!$F$64,Valores!$F$64,Valores!$D$64*'Escala Docente'!B258)/2)+0.03</f>
        <v>19783.87</v>
      </c>
      <c r="AH258" s="125">
        <f>SUM(F258,H258,J258,L258,M258,N258,O258,P258,Q258,R258,T258,U258,V258,X258,Y258,Z258,AA258,AC258,AD258,AF258,AG258)*Valores!$C$104</f>
        <v>31805.385999999999</v>
      </c>
      <c r="AI258" s="125">
        <f t="shared" si="37"/>
        <v>349859.24599999998</v>
      </c>
      <c r="AJ258" s="125">
        <f>IF(Valores!$C$33*B258&gt;Valores!$F$33,Valores!$F$33,Valores!$C$33*B258)</f>
        <v>37333.333333333278</v>
      </c>
      <c r="AK258" s="125">
        <v>0</v>
      </c>
      <c r="AL258" s="125">
        <f>IF(Valores!$C$92*B258&gt;Valores!$C$91,Valores!$C$91,Valores!$C$92*B258)</f>
        <v>0</v>
      </c>
      <c r="AM258" s="125">
        <f>IF(Valores!C$40*B258&gt;Valores!F$39,Valores!F$39,Valores!C$40*B258)</f>
        <v>0</v>
      </c>
      <c r="AN258" s="125">
        <f>IF($F$3="NO",0,IF(Valores!$C$63*B258&gt;Valores!$F$63,Valores!$F$63,Valores!$C$63*B258))</f>
        <v>0</v>
      </c>
      <c r="AO258" s="125">
        <f t="shared" si="35"/>
        <v>37333.333333333278</v>
      </c>
      <c r="AP258" s="125">
        <f>AI258*Valores!$C$72</f>
        <v>-38484.517059999998</v>
      </c>
      <c r="AQ258" s="125">
        <f>IF(AI258&lt;Valores!$E$73,-0.02,IF(AI258&lt;Valores!$F$73,-0.03,-0.04))*AI258</f>
        <v>-6997.1849199999997</v>
      </c>
      <c r="AR258" s="125">
        <f>AI258*Valores!$C$75</f>
        <v>-19242.258529999999</v>
      </c>
      <c r="AS258" s="125">
        <f>Valores!$C$102</f>
        <v>-1270.1600000000001</v>
      </c>
      <c r="AT258" s="125">
        <f>IF($F$5=0,Valores!$C$103,(Valores!$C$103+$F$5*(Valores!$C$103)))</f>
        <v>-3700</v>
      </c>
      <c r="AU258" s="125">
        <f t="shared" si="38"/>
        <v>317498.45882333326</v>
      </c>
      <c r="AV258" s="125">
        <f t="shared" si="32"/>
        <v>-38484.517059999998</v>
      </c>
      <c r="AW258" s="125">
        <f t="shared" si="39"/>
        <v>-6997.1849199999997</v>
      </c>
      <c r="AX258" s="125">
        <f>AI258*Valores!$C$76</f>
        <v>-9446.1996419999996</v>
      </c>
      <c r="AY258" s="125">
        <f>AI258*Valores!$C$77</f>
        <v>-1049.577738</v>
      </c>
      <c r="AZ258" s="125">
        <f t="shared" si="36"/>
        <v>331215.09997333324</v>
      </c>
      <c r="BA258" s="125">
        <f>AI258*Valores!$C$79</f>
        <v>55977.479359999998</v>
      </c>
      <c r="BB258" s="125">
        <f>AI258*Valores!$C$80</f>
        <v>24490.147220000003</v>
      </c>
      <c r="BC258" s="125">
        <f>AI258*Valores!$C$81</f>
        <v>3498.5924599999998</v>
      </c>
      <c r="BD258" s="125">
        <f>AI258*Valores!$C$83</f>
        <v>12245.073610000001</v>
      </c>
      <c r="BE258" s="125">
        <f>AI258*Valores!$C$85</f>
        <v>18892.399283999999</v>
      </c>
      <c r="BF258" s="125">
        <f>AI258*Valores!$C$84</f>
        <v>2099.1554759999999</v>
      </c>
      <c r="BG258" s="126"/>
      <c r="BH258" s="126">
        <f t="shared" si="43"/>
        <v>16</v>
      </c>
      <c r="BI258" s="123" t="s">
        <v>4</v>
      </c>
    </row>
    <row r="259" spans="1:61" s="110" customFormat="1" ht="11.25" customHeight="1" x14ac:dyDescent="0.15">
      <c r="A259" s="123" t="s">
        <v>466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4">79*B259</f>
        <v>1343</v>
      </c>
      <c r="F259" s="125">
        <f>ROUND(E259*Valores!$C$2,2)</f>
        <v>104212.37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35461.15</v>
      </c>
      <c r="N259" s="125">
        <f t="shared" si="33"/>
        <v>0</v>
      </c>
      <c r="O259" s="125">
        <f>Valores!$C$7*B259</f>
        <v>44733.29</v>
      </c>
      <c r="P259" s="125">
        <f>ROUND(IF(B259&lt;15,(Valores!$E$5*B259),Valores!$D$5),2)</f>
        <v>39667.43</v>
      </c>
      <c r="Q259" s="125">
        <v>0</v>
      </c>
      <c r="R259" s="125">
        <f>IF($F$4="NO",IF(Valores!$C$50*B259&gt;Valores!$F$47,Valores!$F$47,Valores!$C$50*B259),IF(Valores!$C$50*B259&gt;Valores!$F$47,Valores!$F$47,Valores!$C$50*B259)/2)</f>
        <v>23563.02</v>
      </c>
      <c r="S259" s="125">
        <f>Valores!$C$18*B259</f>
        <v>14069.2</v>
      </c>
      <c r="T259" s="125">
        <f t="shared" si="40"/>
        <v>14069.2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IF(Valores!$C$99*B259&gt;Valores!$C$98,Valores!$C$98,Valores!$C$99*B259)</f>
        <v>42950.5</v>
      </c>
      <c r="AA259" s="125">
        <f>IF((Valores!$C$28)*B259&gt;Valores!$F$28,Valores!$F$28,(Valores!$C$28)*B259)</f>
        <v>1105.3399999999999</v>
      </c>
      <c r="AB259" s="214">
        <v>0</v>
      </c>
      <c r="AC259" s="125">
        <f t="shared" si="34"/>
        <v>0</v>
      </c>
      <c r="AD259" s="125">
        <f>IF(Valores!$C$29*B259&gt;Valores!$F$29,Valores!$F$29,Valores!$C$29*B259)</f>
        <v>920.38</v>
      </c>
      <c r="AE259" s="192">
        <v>0</v>
      </c>
      <c r="AF259" s="125">
        <f>ROUND(AE259*Valores!$C$2,2)</f>
        <v>0</v>
      </c>
      <c r="AG259" s="125">
        <f>IF($F$4="NO",IF(Valores!$D$64*'Escala Docente'!B259&gt;Valores!$F$64,Valores!$F$64,Valores!$D$64*'Escala Docente'!B259),IF(Valores!$D$64*'Escala Docente'!B259&gt;Valores!$F$64,Valores!$F$64,Valores!$D$64*'Escala Docente'!B259)/2)+0.03</f>
        <v>21020.36</v>
      </c>
      <c r="AH259" s="125">
        <f>SUM(F259,H259,J259,L259,M259,N259,O259,P259,Q259,R259,T259,U259,V259,X259,Y259,Z259,AA259,AC259,AD259,AF259,AG259)*Valores!$C$104</f>
        <v>32770.303999999996</v>
      </c>
      <c r="AI259" s="125">
        <f t="shared" si="37"/>
        <v>360473.34399999998</v>
      </c>
      <c r="AJ259" s="125">
        <f>IF(Valores!$C$33*B259&gt;Valores!$F$33,Valores!$F$33,Valores!$C$33*B259)</f>
        <v>39666.666666666606</v>
      </c>
      <c r="AK259" s="125">
        <v>0</v>
      </c>
      <c r="AL259" s="125">
        <f>IF(Valores!$C$92*B259&gt;Valores!$C$91,Valores!$C$91,Valores!$C$92*B259)</f>
        <v>0</v>
      </c>
      <c r="AM259" s="125">
        <f>IF(Valores!C$40*B259&gt;Valores!F$39,Valores!F$39,Valores!C$40*B259)</f>
        <v>0</v>
      </c>
      <c r="AN259" s="125">
        <f>IF($F$3="NO",0,IF(Valores!$C$63*B259&gt;Valores!$F$63,Valores!$F$63,Valores!$C$63*B259))</f>
        <v>0</v>
      </c>
      <c r="AO259" s="125">
        <f t="shared" si="35"/>
        <v>39666.666666666606</v>
      </c>
      <c r="AP259" s="125">
        <f>AI259*Valores!$C$72</f>
        <v>-39652.067839999996</v>
      </c>
      <c r="AQ259" s="125">
        <f>IF(AI259&lt;Valores!$E$73,-0.02,IF(AI259&lt;Valores!$F$73,-0.03,-0.04))*AI259</f>
        <v>-7209.4668799999999</v>
      </c>
      <c r="AR259" s="125">
        <f>AI259*Valores!$C$75</f>
        <v>-19826.033919999998</v>
      </c>
      <c r="AS259" s="125">
        <f>Valores!$C$102</f>
        <v>-1270.1600000000001</v>
      </c>
      <c r="AT259" s="125">
        <f>IF($F$5=0,Valores!$C$103,(Valores!$C$103+$F$5*(Valores!$C$103)))</f>
        <v>-3700</v>
      </c>
      <c r="AU259" s="125">
        <f t="shared" si="38"/>
        <v>328482.28202666657</v>
      </c>
      <c r="AV259" s="125">
        <f t="shared" si="32"/>
        <v>-39652.067839999996</v>
      </c>
      <c r="AW259" s="125">
        <f t="shared" si="39"/>
        <v>-7209.4668799999999</v>
      </c>
      <c r="AX259" s="125">
        <f>AI259*Valores!$C$76</f>
        <v>-9732.7802879999999</v>
      </c>
      <c r="AY259" s="125">
        <f>AI259*Valores!$C$77</f>
        <v>-1081.420032</v>
      </c>
      <c r="AZ259" s="125">
        <f t="shared" si="36"/>
        <v>342464.27562666661</v>
      </c>
      <c r="BA259" s="125">
        <f>AI259*Valores!$C$79</f>
        <v>57675.73504</v>
      </c>
      <c r="BB259" s="125">
        <f>AI259*Valores!$C$80</f>
        <v>25233.13408</v>
      </c>
      <c r="BC259" s="125">
        <f>AI259*Valores!$C$81</f>
        <v>3604.73344</v>
      </c>
      <c r="BD259" s="125">
        <f>AI259*Valores!$C$83</f>
        <v>12616.56704</v>
      </c>
      <c r="BE259" s="125">
        <f>AI259*Valores!$C$85</f>
        <v>19465.560576</v>
      </c>
      <c r="BF259" s="125">
        <f>AI259*Valores!$C$84</f>
        <v>2162.840064</v>
      </c>
      <c r="BG259" s="126"/>
      <c r="BH259" s="126">
        <f t="shared" si="43"/>
        <v>17</v>
      </c>
      <c r="BI259" s="123" t="s">
        <v>4</v>
      </c>
    </row>
    <row r="260" spans="1:61" s="110" customFormat="1" ht="11.25" customHeight="1" x14ac:dyDescent="0.15">
      <c r="A260" s="123" t="s">
        <v>466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4"/>
        <v>1343</v>
      </c>
      <c r="F260" s="125">
        <f>ROUND(E260*Valores!$C$2,2)</f>
        <v>104212.37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35461.15</v>
      </c>
      <c r="N260" s="125">
        <f t="shared" si="33"/>
        <v>0</v>
      </c>
      <c r="O260" s="125">
        <f>Valores!$C$7*B260</f>
        <v>44733.29</v>
      </c>
      <c r="P260" s="125">
        <f>ROUND(IF(B260&lt;15,(Valores!$E$5*B260),Valores!$D$5),2)</f>
        <v>39667.43</v>
      </c>
      <c r="Q260" s="125">
        <v>0</v>
      </c>
      <c r="R260" s="125">
        <f>IF($F$4="NO",IF(Valores!$C$50*B260&gt;Valores!$F$47,Valores!$F$47,Valores!$C$50*B260),IF(Valores!$C$50*B260&gt;Valores!$F$47,Valores!$F$47,Valores!$C$50*B260)/2)</f>
        <v>23563.02</v>
      </c>
      <c r="S260" s="125">
        <f>Valores!$C$18*B260</f>
        <v>14069.2</v>
      </c>
      <c r="T260" s="125">
        <f t="shared" si="40"/>
        <v>14069.2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IF(Valores!$C$99*B260&gt;Valores!$C$98,Valores!$C$98,Valores!$C$99*B260)</f>
        <v>42950.5</v>
      </c>
      <c r="AA260" s="125">
        <f>IF((Valores!$C$28)*B260&gt;Valores!$F$28,Valores!$F$28,(Valores!$C$28)*B260)</f>
        <v>1105.3399999999999</v>
      </c>
      <c r="AB260" s="214">
        <v>0</v>
      </c>
      <c r="AC260" s="125">
        <f t="shared" si="34"/>
        <v>0</v>
      </c>
      <c r="AD260" s="125">
        <f>IF(Valores!$C$29*B260&gt;Valores!$F$29,Valores!$F$29,Valores!$C$29*B260)</f>
        <v>920.38</v>
      </c>
      <c r="AE260" s="192">
        <v>94</v>
      </c>
      <c r="AF260" s="125">
        <f>ROUND(AE260*Valores!$C$2,2)</f>
        <v>7294.09</v>
      </c>
      <c r="AG260" s="125">
        <f>IF($F$4="NO",IF(Valores!$D$64*'Escala Docente'!B260&gt;Valores!$F$64,Valores!$F$64,Valores!$D$64*'Escala Docente'!B260),IF(Valores!$D$64*'Escala Docente'!B260&gt;Valores!$F$64,Valores!$F$64,Valores!$D$64*'Escala Docente'!B260)/2)+0.03</f>
        <v>21020.36</v>
      </c>
      <c r="AH260" s="125">
        <f>SUM(F260,H260,J260,L260,M260,N260,O260,P260,Q260,R260,T260,U260,V260,X260,Y260,Z260,AA260,AC260,AD260,AF260,AG260)*Valores!$C$104</f>
        <v>33499.713000000003</v>
      </c>
      <c r="AI260" s="125">
        <f t="shared" si="37"/>
        <v>368496.84299999999</v>
      </c>
      <c r="AJ260" s="125">
        <f>IF(Valores!$C$33*B260&gt;Valores!$F$33,Valores!$F$33,Valores!$C$33*B260)</f>
        <v>39666.666666666606</v>
      </c>
      <c r="AK260" s="125">
        <v>0</v>
      </c>
      <c r="AL260" s="125">
        <f>IF(Valores!$C$92*B260&gt;Valores!$C$91,Valores!$C$91,Valores!$C$92*B260)</f>
        <v>0</v>
      </c>
      <c r="AM260" s="125">
        <f>IF(Valores!C$40*B260&gt;Valores!F$39,Valores!F$39,Valores!C$40*B260)</f>
        <v>0</v>
      </c>
      <c r="AN260" s="125">
        <f>IF($F$3="NO",0,IF(Valores!$C$63*B260&gt;Valores!$F$63,Valores!$F$63,Valores!$C$63*B260))</f>
        <v>0</v>
      </c>
      <c r="AO260" s="125">
        <f t="shared" si="35"/>
        <v>39666.666666666606</v>
      </c>
      <c r="AP260" s="125">
        <f>AI260*Valores!$C$72</f>
        <v>-40534.652730000002</v>
      </c>
      <c r="AQ260" s="125">
        <f>IF(AI260&lt;Valores!$E$73,-0.02,IF(AI260&lt;Valores!$F$73,-0.03,-0.04))*AI260</f>
        <v>-7369.9368599999998</v>
      </c>
      <c r="AR260" s="125">
        <f>AI260*Valores!$C$75</f>
        <v>-20267.326365000001</v>
      </c>
      <c r="AS260" s="125">
        <f>Valores!$C$102</f>
        <v>-1270.1600000000001</v>
      </c>
      <c r="AT260" s="125">
        <f>IF($F$5=0,Valores!$C$103,(Valores!$C$103+$F$5*(Valores!$C$103)))</f>
        <v>-3700</v>
      </c>
      <c r="AU260" s="125">
        <f t="shared" si="38"/>
        <v>335021.43371166661</v>
      </c>
      <c r="AV260" s="125">
        <f t="shared" si="32"/>
        <v>-40534.652730000002</v>
      </c>
      <c r="AW260" s="125">
        <f t="shared" si="39"/>
        <v>-7369.9368599999998</v>
      </c>
      <c r="AX260" s="125">
        <f>AI260*Valores!$C$76</f>
        <v>-9949.414761</v>
      </c>
      <c r="AY260" s="125">
        <f>AI260*Valores!$C$77</f>
        <v>-1105.4905289999999</v>
      </c>
      <c r="AZ260" s="125">
        <f t="shared" si="36"/>
        <v>349204.01478666661</v>
      </c>
      <c r="BA260" s="125">
        <f>AI260*Valores!$C$79</f>
        <v>58959.494879999998</v>
      </c>
      <c r="BB260" s="125">
        <f>AI260*Valores!$C$80</f>
        <v>25794.779010000002</v>
      </c>
      <c r="BC260" s="125">
        <f>AI260*Valores!$C$81</f>
        <v>3684.9684299999999</v>
      </c>
      <c r="BD260" s="125">
        <f>AI260*Valores!$C$83</f>
        <v>12897.389505000001</v>
      </c>
      <c r="BE260" s="125">
        <f>AI260*Valores!$C$85</f>
        <v>19898.829522</v>
      </c>
      <c r="BF260" s="125">
        <f>AI260*Valores!$C$84</f>
        <v>2210.9810579999998</v>
      </c>
      <c r="BG260" s="126"/>
      <c r="BH260" s="126">
        <f t="shared" si="43"/>
        <v>17</v>
      </c>
      <c r="BI260" s="123" t="s">
        <v>4</v>
      </c>
    </row>
    <row r="261" spans="1:61" s="110" customFormat="1" ht="11.25" customHeight="1" x14ac:dyDescent="0.15">
      <c r="A261" s="123" t="s">
        <v>466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4"/>
        <v>1422</v>
      </c>
      <c r="F261" s="125">
        <f>ROUND(E261*Valores!$C$2,2)</f>
        <v>110342.51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37547.1</v>
      </c>
      <c r="N261" s="125">
        <f t="shared" si="33"/>
        <v>0</v>
      </c>
      <c r="O261" s="125">
        <f>Valores!$C$7*B261</f>
        <v>47364.659999999996</v>
      </c>
      <c r="P261" s="125">
        <f>ROUND(IF(B261&lt;15,(Valores!$E$5*B261),Valores!$D$5),2)</f>
        <v>39667.43</v>
      </c>
      <c r="Q261" s="125">
        <v>0</v>
      </c>
      <c r="R261" s="125">
        <f>IF($F$4="NO",IF(Valores!$C$50*B261&gt;Valores!$F$47,Valores!$F$47,Valores!$C$50*B261),IF(Valores!$C$50*B261&gt;Valores!$F$47,Valores!$F$47,Valores!$C$50*B261)/2)</f>
        <v>24949.079999999998</v>
      </c>
      <c r="S261" s="125">
        <f>Valores!$C$18*B261</f>
        <v>14896.800000000001</v>
      </c>
      <c r="T261" s="125">
        <f t="shared" si="40"/>
        <v>14896.8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IF(Valores!$C$99*B261&gt;Valores!$C$98,Valores!$C$98,Valores!$C$99*B261)</f>
        <v>45477</v>
      </c>
      <c r="AA261" s="125">
        <f>IF((Valores!$C$28)*B261&gt;Valores!$F$28,Valores!$F$28,(Valores!$C$28)*B261)</f>
        <v>1170.3599999999999</v>
      </c>
      <c r="AB261" s="214">
        <v>0</v>
      </c>
      <c r="AC261" s="125">
        <f t="shared" si="34"/>
        <v>0</v>
      </c>
      <c r="AD261" s="125">
        <f>IF(Valores!$C$29*B261&gt;Valores!$F$29,Valores!$F$29,Valores!$C$29*B261)</f>
        <v>974.52</v>
      </c>
      <c r="AE261" s="192">
        <v>0</v>
      </c>
      <c r="AF261" s="125">
        <f>ROUND(AE261*Valores!$C$2,2)</f>
        <v>0</v>
      </c>
      <c r="AG261" s="125">
        <f>IF($F$4="NO",IF(Valores!$D$64*'Escala Docente'!B261&gt;Valores!$F$64,Valores!$F$64,Valores!$D$64*'Escala Docente'!B261),IF(Valores!$D$64*'Escala Docente'!B261&gt;Valores!$F$64,Valores!$F$64,Valores!$D$64*'Escala Docente'!B261)/2)+0.04</f>
        <v>22256.86</v>
      </c>
      <c r="AH261" s="125">
        <f>SUM(F261,H261,J261,L261,M261,N261,O261,P261,Q261,R261,T261,U261,V261,X261,Y261,Z261,AA261,AC261,AD261,AF261,AG261)*Valores!$C$104</f>
        <v>34464.631999999998</v>
      </c>
      <c r="AI261" s="125">
        <f t="shared" si="37"/>
        <v>379110.95199999993</v>
      </c>
      <c r="AJ261" s="125">
        <f>IF(Valores!$C$33*B261&gt;Valores!$F$33,Valores!$F$33,Valores!$C$33*B261)</f>
        <v>41999.999999999935</v>
      </c>
      <c r="AK261" s="125">
        <v>0</v>
      </c>
      <c r="AL261" s="125">
        <f>IF(Valores!$C$92*B261&gt;Valores!$C$91,Valores!$C$91,Valores!$C$92*B261)</f>
        <v>0</v>
      </c>
      <c r="AM261" s="125">
        <f>IF(Valores!C$40*B261&gt;Valores!F$39,Valores!F$39,Valores!C$40*B261)</f>
        <v>0</v>
      </c>
      <c r="AN261" s="125">
        <f>IF($F$3="NO",0,IF(Valores!$C$63*B261&gt;Valores!$F$63,Valores!$F$63,Valores!$C$63*B261))</f>
        <v>0</v>
      </c>
      <c r="AO261" s="125">
        <f t="shared" si="35"/>
        <v>41999.999999999935</v>
      </c>
      <c r="AP261" s="125">
        <f>AI261*Valores!$C$72</f>
        <v>-41702.204719999994</v>
      </c>
      <c r="AQ261" s="125">
        <f>IF(AI261&lt;Valores!$E$73,-0.02,IF(AI261&lt;Valores!$F$73,-0.03,-0.04))*AI261</f>
        <v>-7582.219039999999</v>
      </c>
      <c r="AR261" s="125">
        <f>AI261*Valores!$C$75</f>
        <v>-20851.102359999997</v>
      </c>
      <c r="AS261" s="125">
        <f>Valores!$C$102</f>
        <v>-1270.1600000000001</v>
      </c>
      <c r="AT261" s="125">
        <f>IF($F$5=0,Valores!$C$103,(Valores!$C$103+$F$5*(Valores!$C$103)))</f>
        <v>-3700</v>
      </c>
      <c r="AU261" s="125">
        <f t="shared" si="38"/>
        <v>346005.26587999985</v>
      </c>
      <c r="AV261" s="125">
        <f t="shared" ref="AV261:AV325" si="45">AP261</f>
        <v>-41702.204719999994</v>
      </c>
      <c r="AW261" s="125">
        <f t="shared" si="39"/>
        <v>-7582.219039999999</v>
      </c>
      <c r="AX261" s="125">
        <f>AI261*Valores!$C$76</f>
        <v>-10235.995703999997</v>
      </c>
      <c r="AY261" s="125">
        <f>AI261*Valores!$C$77</f>
        <v>-1137.3328559999998</v>
      </c>
      <c r="AZ261" s="125">
        <f t="shared" si="36"/>
        <v>360453.1996799999</v>
      </c>
      <c r="BA261" s="125">
        <f>AI261*Valores!$C$79</f>
        <v>60657.752319999992</v>
      </c>
      <c r="BB261" s="125">
        <f>AI261*Valores!$C$80</f>
        <v>26537.766639999998</v>
      </c>
      <c r="BC261" s="125">
        <f>AI261*Valores!$C$81</f>
        <v>3791.1095199999995</v>
      </c>
      <c r="BD261" s="125">
        <f>AI261*Valores!$C$83</f>
        <v>13268.883319999999</v>
      </c>
      <c r="BE261" s="125">
        <f>AI261*Valores!$C$85</f>
        <v>20471.991407999994</v>
      </c>
      <c r="BF261" s="125">
        <f>AI261*Valores!$C$84</f>
        <v>2274.6657119999995</v>
      </c>
      <c r="BG261" s="126"/>
      <c r="BH261" s="126">
        <f t="shared" si="43"/>
        <v>18</v>
      </c>
      <c r="BI261" s="123" t="s">
        <v>4</v>
      </c>
    </row>
    <row r="262" spans="1:61" s="110" customFormat="1" ht="11.25" customHeight="1" x14ac:dyDescent="0.15">
      <c r="A262" s="123" t="s">
        <v>466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4"/>
        <v>1422</v>
      </c>
      <c r="F262" s="125">
        <f>ROUND(E262*Valores!$C$2,2)</f>
        <v>110342.51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37547.1</v>
      </c>
      <c r="N262" s="125">
        <f t="shared" si="33"/>
        <v>0</v>
      </c>
      <c r="O262" s="125">
        <f>Valores!$C$7*B262</f>
        <v>47364.659999999996</v>
      </c>
      <c r="P262" s="125">
        <f>ROUND(IF(B262&lt;15,(Valores!$E$5*B262),Valores!$D$5),2)</f>
        <v>39667.43</v>
      </c>
      <c r="Q262" s="125">
        <v>0</v>
      </c>
      <c r="R262" s="125">
        <f>IF($F$4="NO",IF(Valores!$C$50*B262&gt;Valores!$F$47,Valores!$F$47,Valores!$C$50*B262),IF(Valores!$C$50*B262&gt;Valores!$F$47,Valores!$F$47,Valores!$C$50*B262)/2)</f>
        <v>24949.079999999998</v>
      </c>
      <c r="S262" s="125">
        <f>Valores!$C$18*B262</f>
        <v>14896.800000000001</v>
      </c>
      <c r="T262" s="125">
        <f t="shared" si="40"/>
        <v>14896.8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IF(Valores!$C$99*B262&gt;Valores!$C$98,Valores!$C$98,Valores!$C$99*B262)</f>
        <v>45477</v>
      </c>
      <c r="AA262" s="125">
        <f>IF((Valores!$C$28)*B262&gt;Valores!$F$28,Valores!$F$28,(Valores!$C$28)*B262)</f>
        <v>1170.3599999999999</v>
      </c>
      <c r="AB262" s="214">
        <v>0</v>
      </c>
      <c r="AC262" s="125">
        <f t="shared" si="34"/>
        <v>0</v>
      </c>
      <c r="AD262" s="125">
        <f>IF(Valores!$C$29*B262&gt;Valores!$F$29,Valores!$F$29,Valores!$C$29*B262)</f>
        <v>974.52</v>
      </c>
      <c r="AE262" s="192">
        <v>94</v>
      </c>
      <c r="AF262" s="125">
        <f>ROUND(AE262*Valores!$C$2,2)</f>
        <v>7294.09</v>
      </c>
      <c r="AG262" s="125">
        <f>IF($F$4="NO",IF(Valores!$D$64*'Escala Docente'!B262&gt;Valores!$F$64,Valores!$F$64,Valores!$D$64*'Escala Docente'!B262),IF(Valores!$D$64*'Escala Docente'!B262&gt;Valores!$F$64,Valores!$F$64,Valores!$D$64*'Escala Docente'!B262)/2)+0.04</f>
        <v>22256.86</v>
      </c>
      <c r="AH262" s="125">
        <f>SUM(F262,H262,J262,L262,M262,N262,O262,P262,Q262,R262,T262,U262,V262,X262,Y262,Z262,AA262,AC262,AD262,AF262,AG262)*Valores!$C$104</f>
        <v>35194.040999999997</v>
      </c>
      <c r="AI262" s="125">
        <f t="shared" si="37"/>
        <v>387134.451</v>
      </c>
      <c r="AJ262" s="125">
        <f>IF(Valores!$C$33*B262&gt;Valores!$F$33,Valores!$F$33,Valores!$C$33*B262)</f>
        <v>41999.999999999935</v>
      </c>
      <c r="AK262" s="125">
        <v>0</v>
      </c>
      <c r="AL262" s="125">
        <f>IF(Valores!$C$92*B262&gt;Valores!$C$91,Valores!$C$91,Valores!$C$92*B262)</f>
        <v>0</v>
      </c>
      <c r="AM262" s="125">
        <f>IF(Valores!C$40*B262&gt;Valores!F$39,Valores!F$39,Valores!C$40*B262)</f>
        <v>0</v>
      </c>
      <c r="AN262" s="125">
        <f>IF($F$3="NO",0,IF(Valores!$C$63*B262&gt;Valores!$F$63,Valores!$F$63,Valores!$C$63*B262))</f>
        <v>0</v>
      </c>
      <c r="AO262" s="125">
        <f t="shared" si="35"/>
        <v>41999.999999999935</v>
      </c>
      <c r="AP262" s="125">
        <f>AI262*Valores!$C$72</f>
        <v>-42584.78961</v>
      </c>
      <c r="AQ262" s="125">
        <f>IF(AI262&lt;Valores!$E$73,-0.02,IF(AI262&lt;Valores!$F$73,-0.03,-0.04))*AI262</f>
        <v>-7742.6890199999998</v>
      </c>
      <c r="AR262" s="125">
        <f>AI262*Valores!$C$75</f>
        <v>-21292.394805</v>
      </c>
      <c r="AS262" s="125">
        <f>Valores!$C$102</f>
        <v>-1270.1600000000001</v>
      </c>
      <c r="AT262" s="125">
        <f>IF($F$5=0,Valores!$C$103,(Valores!$C$103+$F$5*(Valores!$C$103)))</f>
        <v>-3700</v>
      </c>
      <c r="AU262" s="125">
        <f t="shared" si="38"/>
        <v>352544.41756499995</v>
      </c>
      <c r="AV262" s="125">
        <f t="shared" si="45"/>
        <v>-42584.78961</v>
      </c>
      <c r="AW262" s="125">
        <f t="shared" si="39"/>
        <v>-7742.6890199999998</v>
      </c>
      <c r="AX262" s="125">
        <f>AI262*Valores!$C$76</f>
        <v>-10452.630176999999</v>
      </c>
      <c r="AY262" s="125">
        <f>AI262*Valores!$C$77</f>
        <v>-1161.4033529999999</v>
      </c>
      <c r="AZ262" s="125">
        <f t="shared" si="36"/>
        <v>367192.93883999996</v>
      </c>
      <c r="BA262" s="125">
        <f>AI262*Valores!$C$79</f>
        <v>61941.512159999998</v>
      </c>
      <c r="BB262" s="125">
        <f>AI262*Valores!$C$80</f>
        <v>27099.411570000004</v>
      </c>
      <c r="BC262" s="125">
        <f>AI262*Valores!$C$81</f>
        <v>3871.3445099999999</v>
      </c>
      <c r="BD262" s="125">
        <f>AI262*Valores!$C$83</f>
        <v>13549.705785000002</v>
      </c>
      <c r="BE262" s="125">
        <f>AI262*Valores!$C$85</f>
        <v>20905.260353999998</v>
      </c>
      <c r="BF262" s="125">
        <f>AI262*Valores!$C$84</f>
        <v>2322.8067059999998</v>
      </c>
      <c r="BG262" s="126"/>
      <c r="BH262" s="126">
        <f t="shared" si="43"/>
        <v>18</v>
      </c>
      <c r="BI262" s="123" t="s">
        <v>4</v>
      </c>
    </row>
    <row r="263" spans="1:61" s="110" customFormat="1" ht="11.25" customHeight="1" x14ac:dyDescent="0.15">
      <c r="A263" s="123" t="s">
        <v>466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4"/>
        <v>1501</v>
      </c>
      <c r="F263" s="125">
        <f>ROUND(E263*Valores!$C$2,2)</f>
        <v>116472.65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39633.050000000003</v>
      </c>
      <c r="N263" s="125">
        <f t="shared" si="33"/>
        <v>0</v>
      </c>
      <c r="O263" s="125">
        <f>Valores!$C$7*B263</f>
        <v>49996.03</v>
      </c>
      <c r="P263" s="125">
        <f>ROUND(IF(B263&lt;15,(Valores!$E$5*B263),Valores!$D$5),2)</f>
        <v>39667.43</v>
      </c>
      <c r="Q263" s="125">
        <v>0</v>
      </c>
      <c r="R263" s="125">
        <f>IF($F$4="NO",IF(Valores!$C$50*B263&gt;Valores!$F$47,Valores!$F$47,Valores!$C$50*B263),IF(Valores!$C$50*B263&gt;Valores!$F$47,Valores!$F$47,Valores!$C$50*B263)/2)</f>
        <v>26335.14</v>
      </c>
      <c r="S263" s="125">
        <f>Valores!$C$18*B263</f>
        <v>15724.4</v>
      </c>
      <c r="T263" s="125">
        <f t="shared" si="40"/>
        <v>15724.4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IF(Valores!$C$99*B263&gt;Valores!$C$98,Valores!$C$98,Valores!$C$99*B263)</f>
        <v>48003.5</v>
      </c>
      <c r="AA263" s="125">
        <f>IF((Valores!$C$28)*B263&gt;Valores!$F$28,Valores!$F$28,(Valores!$C$28)*B263)</f>
        <v>1235.3799999999999</v>
      </c>
      <c r="AB263" s="214">
        <v>0</v>
      </c>
      <c r="AC263" s="125">
        <f t="shared" si="34"/>
        <v>0</v>
      </c>
      <c r="AD263" s="125">
        <f>IF(Valores!$C$29*B263&gt;Valores!$F$29,Valores!$F$29,Valores!$C$29*B263)</f>
        <v>1028.6600000000001</v>
      </c>
      <c r="AE263" s="192">
        <v>0</v>
      </c>
      <c r="AF263" s="125">
        <f>ROUND(AE263*Valores!$C$2,2)</f>
        <v>0</v>
      </c>
      <c r="AG263" s="125">
        <f>IF($F$4="NO",IF(Valores!$D$64*'Escala Docente'!B263&gt;Valores!$F$64,Valores!$F$64,Valores!$D$64*'Escala Docente'!B263),IF(Valores!$D$64*'Escala Docente'!B263&gt;Valores!$F$64,Valores!$F$64,Valores!$D$64*'Escala Docente'!B263)/2)+0.04</f>
        <v>23493.350000000002</v>
      </c>
      <c r="AH263" s="125">
        <f>SUM(F263,H263,J263,L263,M263,N263,O263,P263,Q263,R263,T263,U263,V263,X263,Y263,Z263,AA263,AC263,AD263,AF263,AG263)*Valores!$C$104</f>
        <v>36158.958999999995</v>
      </c>
      <c r="AI263" s="125">
        <f t="shared" si="37"/>
        <v>397748.54899999994</v>
      </c>
      <c r="AJ263" s="125">
        <f>IF(Valores!$C$33*B263&gt;Valores!$F$33,Valores!$F$33,Valores!$C$33*B263)</f>
        <v>44333.33333333327</v>
      </c>
      <c r="AK263" s="125">
        <v>0</v>
      </c>
      <c r="AL263" s="125">
        <f>IF(Valores!$C$92*B263&gt;Valores!$C$91,Valores!$C$91,Valores!$C$92*B263)</f>
        <v>0</v>
      </c>
      <c r="AM263" s="125">
        <f>IF(Valores!C$40*B263&gt;Valores!F$39,Valores!F$39,Valores!C$40*B263)</f>
        <v>0</v>
      </c>
      <c r="AN263" s="125">
        <f>IF($F$3="NO",0,IF(Valores!$C$63*B263&gt;Valores!$F$63,Valores!$F$63,Valores!$C$63*B263))</f>
        <v>0</v>
      </c>
      <c r="AO263" s="125">
        <f t="shared" si="35"/>
        <v>44333.33333333327</v>
      </c>
      <c r="AP263" s="125">
        <f>AI263*Valores!$C$72</f>
        <v>-43752.34038999999</v>
      </c>
      <c r="AQ263" s="125">
        <f>IF(AI263&lt;Valores!$E$73,-0.02,IF(AI263&lt;Valores!$F$73,-0.03,-0.04))*AI263</f>
        <v>-7954.9709799999991</v>
      </c>
      <c r="AR263" s="125">
        <f>AI263*Valores!$C$75</f>
        <v>-21876.170194999995</v>
      </c>
      <c r="AS263" s="125">
        <f>Valores!$C$102</f>
        <v>-1270.1600000000001</v>
      </c>
      <c r="AT263" s="125">
        <f>IF($F$5=0,Valores!$C$103,(Valores!$C$103+$F$5*(Valores!$C$103)))</f>
        <v>-3700</v>
      </c>
      <c r="AU263" s="125">
        <f t="shared" si="38"/>
        <v>363528.2407683332</v>
      </c>
      <c r="AV263" s="125">
        <f t="shared" si="45"/>
        <v>-43752.34038999999</v>
      </c>
      <c r="AW263" s="125">
        <f t="shared" si="39"/>
        <v>-7954.9709799999991</v>
      </c>
      <c r="AX263" s="125">
        <f>AI263*Valores!$C$76</f>
        <v>-10739.210822999998</v>
      </c>
      <c r="AY263" s="125">
        <f>AI263*Valores!$C$77</f>
        <v>-1193.2456469999997</v>
      </c>
      <c r="AZ263" s="125">
        <f t="shared" si="36"/>
        <v>378442.11449333321</v>
      </c>
      <c r="BA263" s="125">
        <f>AI263*Valores!$C$79</f>
        <v>63639.767839999993</v>
      </c>
      <c r="BB263" s="125">
        <f>AI263*Valores!$C$80</f>
        <v>27842.398429999997</v>
      </c>
      <c r="BC263" s="125">
        <f>AI263*Valores!$C$81</f>
        <v>3977.4854899999996</v>
      </c>
      <c r="BD263" s="125">
        <f>AI263*Valores!$C$83</f>
        <v>13921.199214999999</v>
      </c>
      <c r="BE263" s="125">
        <f>AI263*Valores!$C$85</f>
        <v>21478.421645999995</v>
      </c>
      <c r="BF263" s="125">
        <f>AI263*Valores!$C$84</f>
        <v>2386.4912939999995</v>
      </c>
      <c r="BG263" s="126"/>
      <c r="BH263" s="126">
        <f t="shared" si="43"/>
        <v>19</v>
      </c>
      <c r="BI263" s="123" t="s">
        <v>4</v>
      </c>
    </row>
    <row r="264" spans="1:61" s="110" customFormat="1" ht="11.25" customHeight="1" x14ac:dyDescent="0.15">
      <c r="A264" s="123" t="s">
        <v>466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4"/>
        <v>1501</v>
      </c>
      <c r="F264" s="125">
        <f>ROUND(E264*Valores!$C$2,2)</f>
        <v>116472.65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39633.050000000003</v>
      </c>
      <c r="N264" s="125">
        <f t="shared" ref="N264:N326" si="46">ROUND(SUM(F264,H264,J264,L264,X264,R264)*$H$2,2)</f>
        <v>0</v>
      </c>
      <c r="O264" s="125">
        <f>Valores!$C$7*B264</f>
        <v>49996.03</v>
      </c>
      <c r="P264" s="125">
        <f>ROUND(IF(B264&lt;15,(Valores!$E$5*B264),Valores!$D$5),2)</f>
        <v>39667.43</v>
      </c>
      <c r="Q264" s="125">
        <v>0</v>
      </c>
      <c r="R264" s="125">
        <f>IF($F$4="NO",IF(Valores!$C$50*B264&gt;Valores!$F$47,Valores!$F$47,Valores!$C$50*B264),IF(Valores!$C$50*B264&gt;Valores!$F$47,Valores!$F$47,Valores!$C$50*B264)/2)</f>
        <v>26335.14</v>
      </c>
      <c r="S264" s="125">
        <f>Valores!$C$18*B264</f>
        <v>15724.4</v>
      </c>
      <c r="T264" s="125">
        <f t="shared" si="40"/>
        <v>15724.4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IF(Valores!$C$99*B264&gt;Valores!$C$98,Valores!$C$98,Valores!$C$99*B264)</f>
        <v>48003.5</v>
      </c>
      <c r="AA264" s="125">
        <f>IF((Valores!$C$28)*B264&gt;Valores!$F$28,Valores!$F$28,(Valores!$C$28)*B264)</f>
        <v>1235.3799999999999</v>
      </c>
      <c r="AB264" s="214">
        <v>0</v>
      </c>
      <c r="AC264" s="125">
        <f t="shared" ref="AC264:AC326" si="47">ROUND(SUM(F264,H264,J264,X264,R264)*AB264,2)</f>
        <v>0</v>
      </c>
      <c r="AD264" s="125">
        <f>IF(Valores!$C$29*B264&gt;Valores!$F$29,Valores!$F$29,Valores!$C$29*B264)</f>
        <v>1028.6600000000001</v>
      </c>
      <c r="AE264" s="192">
        <v>94</v>
      </c>
      <c r="AF264" s="125">
        <f>ROUND(AE264*Valores!$C$2,2)</f>
        <v>7294.09</v>
      </c>
      <c r="AG264" s="125">
        <f>IF($F$4="NO",IF(Valores!$D$64*'Escala Docente'!B264&gt;Valores!$F$64,Valores!$F$64,Valores!$D$64*'Escala Docente'!B264),IF(Valores!$D$64*'Escala Docente'!B264&gt;Valores!$F$64,Valores!$F$64,Valores!$D$64*'Escala Docente'!B264)/2)+0.04</f>
        <v>23493.350000000002</v>
      </c>
      <c r="AH264" s="125">
        <f>SUM(F264,H264,J264,L264,M264,N264,O264,P264,Q264,R264,T264,U264,V264,X264,Y264,Z264,AA264,AC264,AD264,AF264,AG264)*Valores!$C$104</f>
        <v>36888.368000000002</v>
      </c>
      <c r="AI264" s="125">
        <f t="shared" si="37"/>
        <v>405772.04800000001</v>
      </c>
      <c r="AJ264" s="125">
        <f>IF(Valores!$C$33*B264&gt;Valores!$F$33,Valores!$F$33,Valores!$C$33*B264)</f>
        <v>44333.33333333327</v>
      </c>
      <c r="AK264" s="125">
        <v>0</v>
      </c>
      <c r="AL264" s="125">
        <f>IF(Valores!$C$92*B264&gt;Valores!$C$91,Valores!$C$91,Valores!$C$92*B264)</f>
        <v>0</v>
      </c>
      <c r="AM264" s="125">
        <f>IF(Valores!C$40*B264&gt;Valores!F$39,Valores!F$39,Valores!C$40*B264)</f>
        <v>0</v>
      </c>
      <c r="AN264" s="125">
        <f>IF($F$3="NO",0,IF(Valores!$C$63*B264&gt;Valores!$F$63,Valores!$F$63,Valores!$C$63*B264))</f>
        <v>0</v>
      </c>
      <c r="AO264" s="125">
        <f t="shared" ref="AO264:AO326" si="48">SUM(AJ264:AN264)</f>
        <v>44333.33333333327</v>
      </c>
      <c r="AP264" s="125">
        <f>AI264*Valores!$C$72</f>
        <v>-44634.925280000003</v>
      </c>
      <c r="AQ264" s="125">
        <f>IF(AI264&lt;Valores!$E$73,-0.02,IF(AI264&lt;Valores!$F$73,-0.03,-0.04))*AI264</f>
        <v>-8115.4409600000008</v>
      </c>
      <c r="AR264" s="125">
        <f>AI264*Valores!$C$75</f>
        <v>-22317.462640000002</v>
      </c>
      <c r="AS264" s="125">
        <f>Valores!$C$102</f>
        <v>-1270.1600000000001</v>
      </c>
      <c r="AT264" s="125">
        <f>IF($F$5=0,Valores!$C$103,(Valores!$C$103+$F$5*(Valores!$C$103)))</f>
        <v>-3700</v>
      </c>
      <c r="AU264" s="125">
        <f t="shared" si="38"/>
        <v>370067.39245333325</v>
      </c>
      <c r="AV264" s="125">
        <f t="shared" si="45"/>
        <v>-44634.925280000003</v>
      </c>
      <c r="AW264" s="125">
        <f t="shared" si="39"/>
        <v>-8115.4409600000008</v>
      </c>
      <c r="AX264" s="125">
        <f>AI264*Valores!$C$76</f>
        <v>-10955.845296</v>
      </c>
      <c r="AY264" s="125">
        <f>AI264*Valores!$C$77</f>
        <v>-1217.3161440000001</v>
      </c>
      <c r="AZ264" s="125">
        <f t="shared" ref="AZ264:AZ325" si="49">AI264+AO264+SUM(AV264:AY264)</f>
        <v>385181.85365333327</v>
      </c>
      <c r="BA264" s="125">
        <f>AI264*Valores!$C$79</f>
        <v>64923.527680000007</v>
      </c>
      <c r="BB264" s="125">
        <f>AI264*Valores!$C$80</f>
        <v>28404.043360000003</v>
      </c>
      <c r="BC264" s="125">
        <f>AI264*Valores!$C$81</f>
        <v>4057.7204800000004</v>
      </c>
      <c r="BD264" s="125">
        <f>AI264*Valores!$C$83</f>
        <v>14202.021680000002</v>
      </c>
      <c r="BE264" s="125">
        <f>AI264*Valores!$C$85</f>
        <v>21911.690591999999</v>
      </c>
      <c r="BF264" s="125">
        <f>AI264*Valores!$C$84</f>
        <v>2434.6322880000002</v>
      </c>
      <c r="BG264" s="126"/>
      <c r="BH264" s="126">
        <f t="shared" si="43"/>
        <v>19</v>
      </c>
      <c r="BI264" s="123" t="s">
        <v>4</v>
      </c>
    </row>
    <row r="265" spans="1:61" s="110" customFormat="1" ht="11.25" customHeight="1" x14ac:dyDescent="0.15">
      <c r="A265" s="123" t="s">
        <v>466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4"/>
        <v>1580</v>
      </c>
      <c r="F265" s="125">
        <f>ROUND(E265*Valores!$C$2,2)</f>
        <v>122602.79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41719</v>
      </c>
      <c r="N265" s="125">
        <f t="shared" si="46"/>
        <v>0</v>
      </c>
      <c r="O265" s="125">
        <f>Valores!$C$7*B265</f>
        <v>52627.399999999994</v>
      </c>
      <c r="P265" s="125">
        <f>ROUND(IF(B265&lt;15,(Valores!$E$5*B265),Valores!$D$5),2)</f>
        <v>39667.43</v>
      </c>
      <c r="Q265" s="125">
        <v>0</v>
      </c>
      <c r="R265" s="125">
        <f>IF($F$4="NO",IF(Valores!$C$50*B265&gt;Valores!$F$47,Valores!$F$47,Valores!$C$50*B265),IF(Valores!$C$50*B265&gt;Valores!$F$47,Valores!$F$47,Valores!$C$50*B265)/2)</f>
        <v>27721.199999999997</v>
      </c>
      <c r="S265" s="125">
        <f>Valores!$C$18*B265</f>
        <v>16552</v>
      </c>
      <c r="T265" s="125">
        <f t="shared" si="40"/>
        <v>16552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IF(Valores!$C$99*B265&gt;Valores!$C$98,Valores!$C$98,Valores!$C$99*B265)</f>
        <v>50530</v>
      </c>
      <c r="AA265" s="125">
        <f>IF((Valores!$C$28)*B265&gt;Valores!$F$28,Valores!$F$28,(Valores!$C$28)*B265)</f>
        <v>1300.3999999999999</v>
      </c>
      <c r="AB265" s="214">
        <v>0</v>
      </c>
      <c r="AC265" s="125">
        <f t="shared" si="47"/>
        <v>0</v>
      </c>
      <c r="AD265" s="125">
        <f>IF(Valores!$C$29*B265&gt;Valores!$F$29,Valores!$F$29,Valores!$C$29*B265)</f>
        <v>1082.8</v>
      </c>
      <c r="AE265" s="192">
        <v>0</v>
      </c>
      <c r="AF265" s="125">
        <f>ROUND(AE265*Valores!$C$2,2)</f>
        <v>0</v>
      </c>
      <c r="AG265" s="125">
        <f>IF($F$4="NO",IF(Valores!$D$64*'Escala Docente'!B265&gt;Valores!$F$64,Valores!$F$64,Valores!$D$64*'Escala Docente'!B265),IF(Valores!$D$64*'Escala Docente'!B265&gt;Valores!$F$64,Valores!$F$64,Valores!$D$64*'Escala Docente'!B265)/2)+0.04</f>
        <v>24729.84</v>
      </c>
      <c r="AH265" s="125">
        <f>SUM(F265,H265,J265,L265,M265,N265,O265,P265,Q265,R265,T265,U265,V265,X265,Y265,Z265,AA265,AC265,AD265,AF265,AG265)*Valores!$C$104</f>
        <v>37853.286</v>
      </c>
      <c r="AI265" s="125">
        <f t="shared" ref="AI265:AI326" si="50">SUM(F265,H265,J265,L265,M265,N265,O265,P265,Q265,R265,T265,U265,V265,X265,Y265,Z265,AA265,AC265,AD265,AF265,AG265,AH265)</f>
        <v>416386.14600000001</v>
      </c>
      <c r="AJ265" s="125">
        <f>IF(Valores!$C$33*B265&gt;Valores!$F$33,Valores!$F$33,Valores!$C$33*B265)</f>
        <v>46666.666666666599</v>
      </c>
      <c r="AK265" s="125">
        <v>0</v>
      </c>
      <c r="AL265" s="125">
        <f>IF(Valores!$C$92*B265&gt;Valores!$C$91,Valores!$C$91,Valores!$C$92*B265)</f>
        <v>0</v>
      </c>
      <c r="AM265" s="125">
        <f>IF(Valores!C$40*B265&gt;Valores!F$39,Valores!F$39,Valores!C$40*B265)</f>
        <v>0</v>
      </c>
      <c r="AN265" s="125">
        <f>IF($F$3="NO",0,IF(Valores!$C$63*B265&gt;Valores!$F$63,Valores!$F$63,Valores!$C$63*B265))</f>
        <v>0</v>
      </c>
      <c r="AO265" s="125">
        <f t="shared" si="48"/>
        <v>46666.666666666599</v>
      </c>
      <c r="AP265" s="125">
        <f>AI265*Valores!$C$72</f>
        <v>-45802.476060000001</v>
      </c>
      <c r="AQ265" s="125">
        <f>IF(AI265&lt;Valores!$E$73,-0.02,IF(AI265&lt;Valores!$F$73,-0.03,-0.04))*AI265</f>
        <v>-8327.7229200000002</v>
      </c>
      <c r="AR265" s="125">
        <f>AI265*Valores!$C$75</f>
        <v>-22901.23803</v>
      </c>
      <c r="AS265" s="125">
        <f>Valores!$C$102</f>
        <v>-1270.1600000000001</v>
      </c>
      <c r="AT265" s="125">
        <f>IF($F$5=0,Valores!$C$103,(Valores!$C$103+$F$5*(Valores!$C$103)))</f>
        <v>-3700</v>
      </c>
      <c r="AU265" s="125">
        <f t="shared" ref="AU265:AU326" si="51">AI265+SUM(AO265:AT265)</f>
        <v>381051.21565666661</v>
      </c>
      <c r="AV265" s="125">
        <f t="shared" si="45"/>
        <v>-45802.476060000001</v>
      </c>
      <c r="AW265" s="125">
        <f t="shared" ref="AW265:AW326" si="52">AQ265</f>
        <v>-8327.7229200000002</v>
      </c>
      <c r="AX265" s="125">
        <f>AI265*Valores!$C$76</f>
        <v>-11242.425942</v>
      </c>
      <c r="AY265" s="125">
        <f>AI265*Valores!$C$77</f>
        <v>-1249.1584380000002</v>
      </c>
      <c r="AZ265" s="125">
        <f t="shared" si="49"/>
        <v>396431.02930666658</v>
      </c>
      <c r="BA265" s="125">
        <f>AI265*Valores!$C$79</f>
        <v>66621.783360000001</v>
      </c>
      <c r="BB265" s="125">
        <f>AI265*Valores!$C$80</f>
        <v>29147.030220000004</v>
      </c>
      <c r="BC265" s="125">
        <f>AI265*Valores!$C$81</f>
        <v>4163.8614600000001</v>
      </c>
      <c r="BD265" s="125">
        <f>AI265*Valores!$C$83</f>
        <v>14573.515110000002</v>
      </c>
      <c r="BE265" s="125">
        <f>AI265*Valores!$C$85</f>
        <v>22484.851884</v>
      </c>
      <c r="BF265" s="125">
        <f>AI265*Valores!$C$84</f>
        <v>2498.3168760000003</v>
      </c>
      <c r="BG265" s="126"/>
      <c r="BH265" s="126">
        <f t="shared" si="43"/>
        <v>20</v>
      </c>
      <c r="BI265" s="123" t="s">
        <v>4</v>
      </c>
    </row>
    <row r="266" spans="1:61" s="110" customFormat="1" ht="11.25" customHeight="1" x14ac:dyDescent="0.15">
      <c r="A266" s="123" t="s">
        <v>466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4"/>
        <v>1580</v>
      </c>
      <c r="F266" s="125">
        <f>ROUND(E266*Valores!$C$2,2)</f>
        <v>122602.79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41719</v>
      </c>
      <c r="N266" s="125">
        <f t="shared" si="46"/>
        <v>0</v>
      </c>
      <c r="O266" s="125">
        <f>Valores!$C$7*B266</f>
        <v>52627.399999999994</v>
      </c>
      <c r="P266" s="125">
        <f>ROUND(IF(B266&lt;15,(Valores!$E$5*B266),Valores!$D$5),2)</f>
        <v>39667.43</v>
      </c>
      <c r="Q266" s="125">
        <v>0</v>
      </c>
      <c r="R266" s="125">
        <f>IF($F$4="NO",IF(Valores!$C$50*B266&gt;Valores!$F$47,Valores!$F$47,Valores!$C$50*B266),IF(Valores!$C$50*B266&gt;Valores!$F$47,Valores!$F$47,Valores!$C$50*B266)/2)</f>
        <v>27721.199999999997</v>
      </c>
      <c r="S266" s="125">
        <f>Valores!$C$18*B266</f>
        <v>16552</v>
      </c>
      <c r="T266" s="125">
        <f t="shared" si="40"/>
        <v>16552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IF(Valores!$C$99*B266&gt;Valores!$C$98,Valores!$C$98,Valores!$C$99*B266)</f>
        <v>50530</v>
      </c>
      <c r="AA266" s="125">
        <f>IF((Valores!$C$28)*B266&gt;Valores!$F$28,Valores!$F$28,(Valores!$C$28)*B266)</f>
        <v>1300.3999999999999</v>
      </c>
      <c r="AB266" s="214">
        <v>0</v>
      </c>
      <c r="AC266" s="125">
        <f t="shared" si="47"/>
        <v>0</v>
      </c>
      <c r="AD266" s="125">
        <f>IF(Valores!$C$29*B266&gt;Valores!$F$29,Valores!$F$29,Valores!$C$29*B266)</f>
        <v>1082.8</v>
      </c>
      <c r="AE266" s="192">
        <v>94</v>
      </c>
      <c r="AF266" s="125">
        <f>ROUND(AE266*Valores!$C$2,2)</f>
        <v>7294.09</v>
      </c>
      <c r="AG266" s="125">
        <f>IF($F$4="NO",IF(Valores!$D$64*'Escala Docente'!B266&gt;Valores!$F$64,Valores!$F$64,Valores!$D$64*'Escala Docente'!B266),IF(Valores!$D$64*'Escala Docente'!B266&gt;Valores!$F$64,Valores!$F$64,Valores!$D$64*'Escala Docente'!B266)/2)+0.04</f>
        <v>24729.84</v>
      </c>
      <c r="AH266" s="125">
        <f>SUM(F266,H266,J266,L266,M266,N266,O266,P266,Q266,R266,T266,U266,V266,X266,Y266,Z266,AA266,AC266,AD266,AF266,AG266)*Valores!$C$104</f>
        <v>38582.695</v>
      </c>
      <c r="AI266" s="125">
        <f t="shared" si="50"/>
        <v>424409.64500000002</v>
      </c>
      <c r="AJ266" s="125">
        <f>IF(Valores!$C$33*B266&gt;Valores!$F$33,Valores!$F$33,Valores!$C$33*B266)</f>
        <v>46666.666666666599</v>
      </c>
      <c r="AK266" s="125">
        <v>0</v>
      </c>
      <c r="AL266" s="125">
        <f>IF(Valores!$C$92*B266&gt;Valores!$C$91,Valores!$C$91,Valores!$C$92*B266)</f>
        <v>0</v>
      </c>
      <c r="AM266" s="125">
        <f>IF(Valores!C$40*B266&gt;Valores!F$39,Valores!F$39,Valores!C$40*B266)</f>
        <v>0</v>
      </c>
      <c r="AN266" s="125">
        <f>IF($F$3="NO",0,IF(Valores!$C$63*B266&gt;Valores!$F$63,Valores!$F$63,Valores!$C$63*B266))</f>
        <v>0</v>
      </c>
      <c r="AO266" s="125">
        <f t="shared" si="48"/>
        <v>46666.666666666599</v>
      </c>
      <c r="AP266" s="125">
        <f>AI266*Valores!$C$72</f>
        <v>-46685.060949999999</v>
      </c>
      <c r="AQ266" s="125">
        <f>IF(AI266&lt;Valores!$E$73,-0.02,IF(AI266&lt;Valores!$F$73,-0.03,-0.04))*AI266</f>
        <v>-8488.1929</v>
      </c>
      <c r="AR266" s="125">
        <f>AI266*Valores!$C$75</f>
        <v>-23342.530475</v>
      </c>
      <c r="AS266" s="125">
        <f>Valores!$C$102</f>
        <v>-1270.1600000000001</v>
      </c>
      <c r="AT266" s="125">
        <f>IF($F$5=0,Valores!$C$103,(Valores!$C$103+$F$5*(Valores!$C$103)))</f>
        <v>-3700</v>
      </c>
      <c r="AU266" s="125">
        <f t="shared" si="51"/>
        <v>387590.3673416666</v>
      </c>
      <c r="AV266" s="125">
        <f t="shared" si="45"/>
        <v>-46685.060949999999</v>
      </c>
      <c r="AW266" s="125">
        <f t="shared" si="52"/>
        <v>-8488.1929</v>
      </c>
      <c r="AX266" s="125">
        <f>AI266*Valores!$C$76</f>
        <v>-11459.060415</v>
      </c>
      <c r="AY266" s="125">
        <f>AI266*Valores!$C$77</f>
        <v>-1273.2289350000001</v>
      </c>
      <c r="AZ266" s="125">
        <f t="shared" si="49"/>
        <v>403170.76846666663</v>
      </c>
      <c r="BA266" s="125">
        <f>AI266*Valores!$C$79</f>
        <v>67905.5432</v>
      </c>
      <c r="BB266" s="125">
        <f>AI266*Valores!$C$80</f>
        <v>29708.675150000003</v>
      </c>
      <c r="BC266" s="125">
        <f>AI266*Valores!$C$81</f>
        <v>4244.09645</v>
      </c>
      <c r="BD266" s="125">
        <f>AI266*Valores!$C$83</f>
        <v>14854.337575000001</v>
      </c>
      <c r="BE266" s="125">
        <f>AI266*Valores!$C$85</f>
        <v>22918.12083</v>
      </c>
      <c r="BF266" s="125">
        <f>AI266*Valores!$C$84</f>
        <v>2546.4578700000002</v>
      </c>
      <c r="BG266" s="126"/>
      <c r="BH266" s="126">
        <f t="shared" si="43"/>
        <v>20</v>
      </c>
      <c r="BI266" s="123" t="s">
        <v>4</v>
      </c>
    </row>
    <row r="267" spans="1:61" s="110" customFormat="1" ht="11.25" customHeight="1" x14ac:dyDescent="0.15">
      <c r="A267" s="123" t="s">
        <v>466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4"/>
        <v>1659</v>
      </c>
      <c r="F267" s="125">
        <f>ROUND(E267*Valores!$C$2,2)</f>
        <v>128732.93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43804.95</v>
      </c>
      <c r="N267" s="125">
        <f t="shared" si="46"/>
        <v>0</v>
      </c>
      <c r="O267" s="125">
        <f>Valores!$C$7*B267</f>
        <v>55258.77</v>
      </c>
      <c r="P267" s="125">
        <f>ROUND(IF(B267&lt;15,(Valores!$E$5*B267),Valores!$D$5),2)</f>
        <v>39667.43</v>
      </c>
      <c r="Q267" s="125">
        <v>0</v>
      </c>
      <c r="R267" s="125">
        <f>IF($F$4="NO",IF(Valores!$C$50*B267&gt;Valores!$F$47,Valores!$F$47,Valores!$C$50*B267),IF(Valores!$C$50*B267&gt;Valores!$F$47,Valores!$F$47,Valores!$C$50*B267)/2)</f>
        <v>29107.26</v>
      </c>
      <c r="S267" s="125">
        <f>Valores!$C$18*B267</f>
        <v>17379.600000000002</v>
      </c>
      <c r="T267" s="125">
        <f t="shared" ref="T267:T299" si="53">ROUND(S267*(1+$H$2),2)</f>
        <v>17379.599999999999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IF(Valores!$C$99*B267&gt;Valores!$C$98,Valores!$C$98,Valores!$C$99*B267)</f>
        <v>53056.5</v>
      </c>
      <c r="AA267" s="125">
        <f>IF((Valores!$C$28)*B267&gt;Valores!$F$28,Valores!$F$28,(Valores!$C$28)*B267)</f>
        <v>1365.4199999999998</v>
      </c>
      <c r="AB267" s="214">
        <v>0</v>
      </c>
      <c r="AC267" s="125">
        <f t="shared" si="47"/>
        <v>0</v>
      </c>
      <c r="AD267" s="125">
        <f>IF(Valores!$C$29*B267&gt;Valores!$F$29,Valores!$F$29,Valores!$C$29*B267)</f>
        <v>1136.94</v>
      </c>
      <c r="AE267" s="192">
        <v>0</v>
      </c>
      <c r="AF267" s="125">
        <f>ROUND(AE267*Valores!$C$2,2)</f>
        <v>0</v>
      </c>
      <c r="AG267" s="125">
        <f>IF($F$4="NO",IF(Valores!$D$64*'Escala Docente'!B267&gt;Valores!$F$64,Valores!$F$64,Valores!$D$64*'Escala Docente'!B267),IF(Valores!$D$64*'Escala Docente'!B267&gt;Valores!$F$64,Valores!$F$64,Valores!$D$64*'Escala Docente'!B267)/2)+0.05</f>
        <v>25966.34</v>
      </c>
      <c r="AH267" s="125">
        <f>SUM(F267,H267,J267,L267,M267,N267,O267,P267,Q267,R267,T267,U267,V267,X267,Y267,Z267,AA267,AC267,AD267,AF267,AG267)*Valores!$C$104</f>
        <v>39547.614000000001</v>
      </c>
      <c r="AI267" s="125">
        <f t="shared" si="50"/>
        <v>435023.75400000002</v>
      </c>
      <c r="AJ267" s="125">
        <f>IF(Valores!$C$33*B267&gt;Valores!$F$33,Valores!$F$33,Valores!$C$33*B267)</f>
        <v>48999.999999999927</v>
      </c>
      <c r="AK267" s="125">
        <v>0</v>
      </c>
      <c r="AL267" s="125">
        <f>IF(Valores!$C$92*B267&gt;Valores!$C$91,Valores!$C$91,Valores!$C$92*B267)</f>
        <v>0</v>
      </c>
      <c r="AM267" s="125">
        <f>IF(Valores!C$40*B267&gt;Valores!F$39,Valores!F$39,Valores!C$40*B267)</f>
        <v>0</v>
      </c>
      <c r="AN267" s="125">
        <f>IF($F$3="NO",0,IF(Valores!$C$63*B267&gt;Valores!$F$63,Valores!$F$63,Valores!$C$63*B267))</f>
        <v>0</v>
      </c>
      <c r="AO267" s="125">
        <f t="shared" si="48"/>
        <v>48999.999999999927</v>
      </c>
      <c r="AP267" s="125">
        <f>AI267*Valores!$C$72</f>
        <v>-47852.612939999999</v>
      </c>
      <c r="AQ267" s="125">
        <f>IF(AI267&lt;Valores!$E$73,-0.02,IF(AI267&lt;Valores!$F$73,-0.03,-0.04))*AI267</f>
        <v>-8700.4750800000002</v>
      </c>
      <c r="AR267" s="125">
        <f>AI267*Valores!$C$75</f>
        <v>-23926.30647</v>
      </c>
      <c r="AS267" s="125">
        <f>Valores!$C$102</f>
        <v>-1270.1600000000001</v>
      </c>
      <c r="AT267" s="125">
        <f>IF($F$5=0,Valores!$C$103,(Valores!$C$103+$F$5*(Valores!$C$103)))</f>
        <v>-3700</v>
      </c>
      <c r="AU267" s="125">
        <f t="shared" si="51"/>
        <v>398574.19950999995</v>
      </c>
      <c r="AV267" s="125">
        <f t="shared" si="45"/>
        <v>-47852.612939999999</v>
      </c>
      <c r="AW267" s="125">
        <f t="shared" si="52"/>
        <v>-8700.4750800000002</v>
      </c>
      <c r="AX267" s="125">
        <f>AI267*Valores!$C$76</f>
        <v>-11745.641358000001</v>
      </c>
      <c r="AY267" s="125">
        <f>AI267*Valores!$C$77</f>
        <v>-1305.0712620000002</v>
      </c>
      <c r="AZ267" s="125">
        <f t="shared" si="49"/>
        <v>414419.95335999998</v>
      </c>
      <c r="BA267" s="125">
        <f>AI267*Valores!$C$79</f>
        <v>69603.800640000001</v>
      </c>
      <c r="BB267" s="125">
        <f>AI267*Valores!$C$80</f>
        <v>30451.662780000002</v>
      </c>
      <c r="BC267" s="125">
        <f>AI267*Valores!$C$81</f>
        <v>4350.2375400000001</v>
      </c>
      <c r="BD267" s="125">
        <f>AI267*Valores!$C$83</f>
        <v>15225.831390000001</v>
      </c>
      <c r="BE267" s="125">
        <f>AI267*Valores!$C$85</f>
        <v>23491.282716000002</v>
      </c>
      <c r="BF267" s="125">
        <f>AI267*Valores!$C$84</f>
        <v>2610.1425240000003</v>
      </c>
      <c r="BG267" s="126"/>
      <c r="BH267" s="126">
        <f t="shared" si="43"/>
        <v>21</v>
      </c>
      <c r="BI267" s="123" t="s">
        <v>4</v>
      </c>
    </row>
    <row r="268" spans="1:61" s="110" customFormat="1" ht="11.25" customHeight="1" x14ac:dyDescent="0.15">
      <c r="A268" s="123" t="s">
        <v>466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4"/>
        <v>1659</v>
      </c>
      <c r="F268" s="125">
        <f>ROUND(E268*Valores!$C$2,2)</f>
        <v>128732.93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43804.95</v>
      </c>
      <c r="N268" s="125">
        <f t="shared" si="46"/>
        <v>0</v>
      </c>
      <c r="O268" s="125">
        <f>Valores!$C$7*B268</f>
        <v>55258.77</v>
      </c>
      <c r="P268" s="125">
        <f>ROUND(IF(B268&lt;15,(Valores!$E$5*B268),Valores!$D$5),2)</f>
        <v>39667.43</v>
      </c>
      <c r="Q268" s="125">
        <v>0</v>
      </c>
      <c r="R268" s="125">
        <f>IF($F$4="NO",IF(Valores!$C$50*B268&gt;Valores!$F$47,Valores!$F$47,Valores!$C$50*B268),IF(Valores!$C$50*B268&gt;Valores!$F$47,Valores!$F$47,Valores!$C$50*B268)/2)</f>
        <v>29107.26</v>
      </c>
      <c r="S268" s="125">
        <f>Valores!$C$18*B268</f>
        <v>17379.600000000002</v>
      </c>
      <c r="T268" s="125">
        <f t="shared" si="53"/>
        <v>17379.599999999999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IF(Valores!$C$99*B268&gt;Valores!$C$98,Valores!$C$98,Valores!$C$99*B268)</f>
        <v>53056.5</v>
      </c>
      <c r="AA268" s="125">
        <f>IF((Valores!$C$28)*B268&gt;Valores!$F$28,Valores!$F$28,(Valores!$C$28)*B268)</f>
        <v>1365.4199999999998</v>
      </c>
      <c r="AB268" s="214">
        <v>0</v>
      </c>
      <c r="AC268" s="125">
        <f t="shared" si="47"/>
        <v>0</v>
      </c>
      <c r="AD268" s="125">
        <f>IF(Valores!$C$29*B268&gt;Valores!$F$29,Valores!$F$29,Valores!$C$29*B268)</f>
        <v>1136.94</v>
      </c>
      <c r="AE268" s="192">
        <v>94</v>
      </c>
      <c r="AF268" s="125">
        <f>ROUND(AE268*Valores!$C$2,2)</f>
        <v>7294.09</v>
      </c>
      <c r="AG268" s="125">
        <f>IF($F$4="NO",IF(Valores!$D$64*'Escala Docente'!B268&gt;Valores!$F$64,Valores!$F$64,Valores!$D$64*'Escala Docente'!B268),IF(Valores!$D$64*'Escala Docente'!B268&gt;Valores!$F$64,Valores!$F$64,Valores!$D$64*'Escala Docente'!B268)/2)+0.05</f>
        <v>25966.34</v>
      </c>
      <c r="AH268" s="125">
        <f>SUM(F268,H268,J268,L268,M268,N268,O268,P268,Q268,R268,T268,U268,V268,X268,Y268,Z268,AA268,AC268,AD268,AF268,AG268)*Valores!$C$104</f>
        <v>40277.023000000008</v>
      </c>
      <c r="AI268" s="125">
        <f t="shared" si="50"/>
        <v>443047.25300000003</v>
      </c>
      <c r="AJ268" s="125">
        <f>IF(Valores!$C$33*B268&gt;Valores!$F$33,Valores!$F$33,Valores!$C$33*B268)</f>
        <v>48999.999999999927</v>
      </c>
      <c r="AK268" s="125">
        <v>0</v>
      </c>
      <c r="AL268" s="125">
        <f>IF(Valores!$C$92*B268&gt;Valores!$C$91,Valores!$C$91,Valores!$C$92*B268)</f>
        <v>0</v>
      </c>
      <c r="AM268" s="125">
        <f>IF(Valores!C$40*B268&gt;Valores!F$39,Valores!F$39,Valores!C$40*B268)</f>
        <v>0</v>
      </c>
      <c r="AN268" s="125">
        <f>IF($F$3="NO",0,IF(Valores!$C$63*B268&gt;Valores!$F$63,Valores!$F$63,Valores!$C$63*B268))</f>
        <v>0</v>
      </c>
      <c r="AO268" s="125">
        <f t="shared" si="48"/>
        <v>48999.999999999927</v>
      </c>
      <c r="AP268" s="125">
        <f>AI268*Valores!$C$72</f>
        <v>-48735.197830000005</v>
      </c>
      <c r="AQ268" s="125">
        <f>IF(AI268&lt;Valores!$E$73,-0.02,IF(AI268&lt;Valores!$F$73,-0.03,-0.04))*AI268</f>
        <v>-8860.94506</v>
      </c>
      <c r="AR268" s="125">
        <f>AI268*Valores!$C$75</f>
        <v>-24367.598915000002</v>
      </c>
      <c r="AS268" s="125">
        <f>Valores!$C$102</f>
        <v>-1270.1600000000001</v>
      </c>
      <c r="AT268" s="125">
        <f>IF($F$5=0,Valores!$C$103,(Valores!$C$103+$F$5*(Valores!$C$103)))</f>
        <v>-3700</v>
      </c>
      <c r="AU268" s="125">
        <f t="shared" si="51"/>
        <v>405113.35119499994</v>
      </c>
      <c r="AV268" s="125">
        <f t="shared" si="45"/>
        <v>-48735.197830000005</v>
      </c>
      <c r="AW268" s="125">
        <f t="shared" si="52"/>
        <v>-8860.94506</v>
      </c>
      <c r="AX268" s="125">
        <f>AI268*Valores!$C$76</f>
        <v>-11962.275831000001</v>
      </c>
      <c r="AY268" s="125">
        <f>AI268*Valores!$C$77</f>
        <v>-1329.1417590000001</v>
      </c>
      <c r="AZ268" s="125">
        <f t="shared" si="49"/>
        <v>421159.69251999992</v>
      </c>
      <c r="BA268" s="125">
        <f>AI268*Valores!$C$79</f>
        <v>70887.56048</v>
      </c>
      <c r="BB268" s="125">
        <f>AI268*Valores!$C$80</f>
        <v>31013.307710000005</v>
      </c>
      <c r="BC268" s="125">
        <f>AI268*Valores!$C$81</f>
        <v>4430.47253</v>
      </c>
      <c r="BD268" s="125">
        <f>AI268*Valores!$C$83</f>
        <v>15506.653855000002</v>
      </c>
      <c r="BE268" s="125">
        <f>AI268*Valores!$C$85</f>
        <v>23924.551662000002</v>
      </c>
      <c r="BF268" s="125">
        <f>AI268*Valores!$C$84</f>
        <v>2658.2835180000002</v>
      </c>
      <c r="BG268" s="126"/>
      <c r="BH268" s="126">
        <f t="shared" si="43"/>
        <v>21</v>
      </c>
      <c r="BI268" s="123" t="s">
        <v>4</v>
      </c>
    </row>
    <row r="269" spans="1:61" s="110" customFormat="1" ht="11.25" customHeight="1" x14ac:dyDescent="0.15">
      <c r="A269" s="123" t="s">
        <v>466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4"/>
        <v>1738</v>
      </c>
      <c r="F269" s="125">
        <f>ROUND(E269*Valores!$C$2,2)</f>
        <v>134863.06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45890.9</v>
      </c>
      <c r="N269" s="125">
        <f t="shared" si="46"/>
        <v>0</v>
      </c>
      <c r="O269" s="125">
        <f>Valores!$C$7*B269</f>
        <v>57890.14</v>
      </c>
      <c r="P269" s="125">
        <f>ROUND(IF(B269&lt;15,(Valores!$E$5*B269),Valores!$D$5),2)</f>
        <v>39667.43</v>
      </c>
      <c r="Q269" s="125">
        <v>0</v>
      </c>
      <c r="R269" s="125">
        <f>IF($F$4="NO",IF(Valores!$C$50*B269&gt;Valores!$F$47,Valores!$F$47,Valores!$C$50*B269),IF(Valores!$C$50*B269&gt;Valores!$F$47,Valores!$F$47,Valores!$C$50*B269)/2)</f>
        <v>30493.32</v>
      </c>
      <c r="S269" s="125">
        <f>Valores!$C$18*B269</f>
        <v>18207.2</v>
      </c>
      <c r="T269" s="125">
        <f t="shared" si="53"/>
        <v>18207.2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IF(Valores!$C$99*B269&gt;Valores!$C$98,Valores!$C$98,Valores!$C$99*B269)</f>
        <v>55583</v>
      </c>
      <c r="AA269" s="125">
        <f>IF((Valores!$C$28)*B269&gt;Valores!$F$28,Valores!$F$28,(Valores!$C$28)*B269)</f>
        <v>1430.4399999999998</v>
      </c>
      <c r="AB269" s="214">
        <v>0</v>
      </c>
      <c r="AC269" s="125">
        <f t="shared" si="47"/>
        <v>0</v>
      </c>
      <c r="AD269" s="125">
        <f>IF(Valores!$C$29*B269&gt;Valores!$F$29,Valores!$F$29,Valores!$C$29*B269)</f>
        <v>1191.08</v>
      </c>
      <c r="AE269" s="192">
        <v>0</v>
      </c>
      <c r="AF269" s="125">
        <f>ROUND(AE269*Valores!$C$2,2)</f>
        <v>0</v>
      </c>
      <c r="AG269" s="125">
        <f>IF($F$4="NO",IF(Valores!$D$64*'Escala Docente'!B269&gt;Valores!$F$64,Valores!$F$64,Valores!$D$64*'Escala Docente'!B269),IF(Valores!$D$64*'Escala Docente'!B269&gt;Valores!$F$64,Valores!$F$64,Valores!$D$64*'Escala Docente'!B269)/2)+0.05</f>
        <v>27202.829999999998</v>
      </c>
      <c r="AH269" s="125">
        <f>SUM(F269,H269,J269,L269,M269,N269,O269,P269,Q269,R269,T269,U269,V269,X269,Y269,Z269,AA269,AC269,AD269,AF269,AG269)*Valores!$C$104</f>
        <v>41241.94</v>
      </c>
      <c r="AI269" s="125">
        <f t="shared" si="50"/>
        <v>453661.34</v>
      </c>
      <c r="AJ269" s="125">
        <f>IF(Valores!$C$33*B269&gt;Valores!$F$33,Valores!$F$33,Valores!$C$33*B269)</f>
        <v>51333.333333333256</v>
      </c>
      <c r="AK269" s="125">
        <v>0</v>
      </c>
      <c r="AL269" s="125">
        <f>IF(Valores!$C$92*B269&gt;Valores!$C$91,Valores!$C$91,Valores!$C$92*B269)</f>
        <v>0</v>
      </c>
      <c r="AM269" s="125">
        <f>IF(Valores!C$40*B269&gt;Valores!F$39,Valores!F$39,Valores!C$40*B269)</f>
        <v>0</v>
      </c>
      <c r="AN269" s="125">
        <f>IF($F$3="NO",0,IF(Valores!$C$63*B269&gt;Valores!$F$63,Valores!$F$63,Valores!$C$63*B269))</f>
        <v>0</v>
      </c>
      <c r="AO269" s="125">
        <f t="shared" si="48"/>
        <v>51333.333333333256</v>
      </c>
      <c r="AP269" s="125">
        <f>AI269*Valores!$C$72</f>
        <v>-49902.7474</v>
      </c>
      <c r="AQ269" s="125">
        <f>IF(AI269&lt;Valores!$E$73,-0.02,IF(AI269&lt;Valores!$F$73,-0.03,-0.04))*AI269</f>
        <v>-9073.2268000000004</v>
      </c>
      <c r="AR269" s="125">
        <f>AI269*Valores!$C$75</f>
        <v>-24951.3737</v>
      </c>
      <c r="AS269" s="125">
        <f>Valores!$C$102</f>
        <v>-1270.1600000000001</v>
      </c>
      <c r="AT269" s="125">
        <f>IF($F$5=0,Valores!$C$103,(Valores!$C$103+$F$5*(Valores!$C$103)))</f>
        <v>-3700</v>
      </c>
      <c r="AU269" s="125">
        <f t="shared" si="51"/>
        <v>416097.16543333326</v>
      </c>
      <c r="AV269" s="125">
        <f t="shared" si="45"/>
        <v>-49902.7474</v>
      </c>
      <c r="AW269" s="125">
        <f t="shared" si="52"/>
        <v>-9073.2268000000004</v>
      </c>
      <c r="AX269" s="125">
        <f>AI269*Valores!$C$76</f>
        <v>-12248.856180000001</v>
      </c>
      <c r="AY269" s="125">
        <f>AI269*Valores!$C$77</f>
        <v>-1360.9840200000001</v>
      </c>
      <c r="AZ269" s="125">
        <f t="shared" si="49"/>
        <v>432408.85893333331</v>
      </c>
      <c r="BA269" s="125">
        <f>AI269*Valores!$C$79</f>
        <v>72585.814400000003</v>
      </c>
      <c r="BB269" s="125">
        <f>AI269*Valores!$C$80</f>
        <v>31756.293800000003</v>
      </c>
      <c r="BC269" s="125">
        <f>AI269*Valores!$C$81</f>
        <v>4536.6134000000002</v>
      </c>
      <c r="BD269" s="125">
        <f>AI269*Valores!$C$83</f>
        <v>15878.146900000002</v>
      </c>
      <c r="BE269" s="125">
        <f>AI269*Valores!$C$85</f>
        <v>24497.712360000001</v>
      </c>
      <c r="BF269" s="125">
        <f>AI269*Valores!$C$84</f>
        <v>2721.9680400000002</v>
      </c>
      <c r="BG269" s="126"/>
      <c r="BH269" s="126">
        <f t="shared" si="43"/>
        <v>22</v>
      </c>
      <c r="BI269" s="123" t="s">
        <v>4</v>
      </c>
    </row>
    <row r="270" spans="1:61" s="110" customFormat="1" ht="11.25" customHeight="1" x14ac:dyDescent="0.15">
      <c r="A270" s="123" t="s">
        <v>466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4"/>
        <v>1738</v>
      </c>
      <c r="F270" s="125">
        <f>ROUND(E270*Valores!$C$2,2)</f>
        <v>134863.06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45890.9</v>
      </c>
      <c r="N270" s="125">
        <f t="shared" si="46"/>
        <v>0</v>
      </c>
      <c r="O270" s="125">
        <f>Valores!$C$7*B270</f>
        <v>57890.14</v>
      </c>
      <c r="P270" s="125">
        <f>ROUND(IF(B270&lt;15,(Valores!$E$5*B270),Valores!$D$5),2)</f>
        <v>39667.43</v>
      </c>
      <c r="Q270" s="125">
        <v>0</v>
      </c>
      <c r="R270" s="125">
        <f>IF($F$4="NO",IF(Valores!$C$50*B270&gt;Valores!$F$47,Valores!$F$47,Valores!$C$50*B270),IF(Valores!$C$50*B270&gt;Valores!$F$47,Valores!$F$47,Valores!$C$50*B270)/2)</f>
        <v>30493.32</v>
      </c>
      <c r="S270" s="125">
        <f>Valores!$C$18*B270</f>
        <v>18207.2</v>
      </c>
      <c r="T270" s="125">
        <f t="shared" si="53"/>
        <v>18207.2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IF(Valores!$C$99*B270&gt;Valores!$C$98,Valores!$C$98,Valores!$C$99*B270)</f>
        <v>55583</v>
      </c>
      <c r="AA270" s="125">
        <f>IF((Valores!$C$28)*B270&gt;Valores!$F$28,Valores!$F$28,(Valores!$C$28)*B270)</f>
        <v>1430.4399999999998</v>
      </c>
      <c r="AB270" s="214">
        <v>0</v>
      </c>
      <c r="AC270" s="125">
        <f t="shared" si="47"/>
        <v>0</v>
      </c>
      <c r="AD270" s="125">
        <f>IF(Valores!$C$29*B270&gt;Valores!$F$29,Valores!$F$29,Valores!$C$29*B270)</f>
        <v>1191.08</v>
      </c>
      <c r="AE270" s="192">
        <v>94</v>
      </c>
      <c r="AF270" s="125">
        <f>ROUND(AE270*Valores!$C$2,2)</f>
        <v>7294.09</v>
      </c>
      <c r="AG270" s="125">
        <f>IF($F$4="NO",IF(Valores!$D$64*'Escala Docente'!B270&gt;Valores!$F$64,Valores!$F$64,Valores!$D$64*'Escala Docente'!B270),IF(Valores!$D$64*'Escala Docente'!B270&gt;Valores!$F$64,Valores!$F$64,Valores!$D$64*'Escala Docente'!B270)/2)+0.05</f>
        <v>27202.829999999998</v>
      </c>
      <c r="AH270" s="125">
        <f>SUM(F270,H270,J270,L270,M270,N270,O270,P270,Q270,R270,T270,U270,V270,X270,Y270,Z270,AA270,AC270,AD270,AF270,AG270)*Valores!$C$104</f>
        <v>41971.349000000009</v>
      </c>
      <c r="AI270" s="125">
        <f t="shared" si="50"/>
        <v>461684.83900000004</v>
      </c>
      <c r="AJ270" s="125">
        <f>IF(Valores!$C$33*B270&gt;Valores!$F$33,Valores!$F$33,Valores!$C$33*B270)</f>
        <v>51333.333333333256</v>
      </c>
      <c r="AK270" s="125">
        <v>0</v>
      </c>
      <c r="AL270" s="125">
        <f>IF(Valores!$C$92*B270&gt;Valores!$C$91,Valores!$C$91,Valores!$C$92*B270)</f>
        <v>0</v>
      </c>
      <c r="AM270" s="125">
        <f>IF(Valores!C$40*B270&gt;Valores!F$39,Valores!F$39,Valores!C$40*B270)</f>
        <v>0</v>
      </c>
      <c r="AN270" s="125">
        <f>IF($F$3="NO",0,IF(Valores!$C$63*B270&gt;Valores!$F$63,Valores!$F$63,Valores!$C$63*B270))</f>
        <v>0</v>
      </c>
      <c r="AO270" s="125">
        <f t="shared" si="48"/>
        <v>51333.333333333256</v>
      </c>
      <c r="AP270" s="125">
        <f>AI270*Valores!$C$72</f>
        <v>-50785.332290000006</v>
      </c>
      <c r="AQ270" s="125">
        <f>IF(AI270&lt;Valores!$E$73,-0.02,IF(AI270&lt;Valores!$F$73,-0.03,-0.04))*AI270</f>
        <v>-9233.6967800000002</v>
      </c>
      <c r="AR270" s="125">
        <f>AI270*Valores!$C$75</f>
        <v>-25392.666145000003</v>
      </c>
      <c r="AS270" s="125">
        <f>Valores!$C$102</f>
        <v>-1270.1600000000001</v>
      </c>
      <c r="AT270" s="125">
        <f>IF($F$5=0,Valores!$C$103,(Valores!$C$103+$F$5*(Valores!$C$103)))</f>
        <v>-3700</v>
      </c>
      <c r="AU270" s="125">
        <f t="shared" si="51"/>
        <v>422636.3171183333</v>
      </c>
      <c r="AV270" s="125">
        <f t="shared" si="45"/>
        <v>-50785.332290000006</v>
      </c>
      <c r="AW270" s="125">
        <f t="shared" si="52"/>
        <v>-9233.6967800000002</v>
      </c>
      <c r="AX270" s="125">
        <f>AI270*Valores!$C$76</f>
        <v>-12465.490653000001</v>
      </c>
      <c r="AY270" s="125">
        <f>AI270*Valores!$C$77</f>
        <v>-1385.054517</v>
      </c>
      <c r="AZ270" s="125">
        <f t="shared" si="49"/>
        <v>439148.5980933333</v>
      </c>
      <c r="BA270" s="125">
        <f>AI270*Valores!$C$79</f>
        <v>73869.574240000002</v>
      </c>
      <c r="BB270" s="125">
        <f>AI270*Valores!$C$80</f>
        <v>32317.938730000005</v>
      </c>
      <c r="BC270" s="125">
        <f>AI270*Valores!$C$81</f>
        <v>4616.8483900000001</v>
      </c>
      <c r="BD270" s="125">
        <f>AI270*Valores!$C$83</f>
        <v>16158.969365000003</v>
      </c>
      <c r="BE270" s="125">
        <f>AI270*Valores!$C$85</f>
        <v>24930.981306000001</v>
      </c>
      <c r="BF270" s="125">
        <f>AI270*Valores!$C$84</f>
        <v>2770.1090340000001</v>
      </c>
      <c r="BG270" s="126"/>
      <c r="BH270" s="126">
        <f t="shared" si="43"/>
        <v>22</v>
      </c>
      <c r="BI270" s="123" t="s">
        <v>4</v>
      </c>
    </row>
    <row r="271" spans="1:61" s="110" customFormat="1" ht="11.25" customHeight="1" x14ac:dyDescent="0.15">
      <c r="A271" s="123" t="s">
        <v>466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4"/>
        <v>1817</v>
      </c>
      <c r="F271" s="125">
        <f>ROUND(E271*Valores!$C$2,2)</f>
        <v>140993.20000000001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47976.85</v>
      </c>
      <c r="N271" s="125">
        <f t="shared" si="46"/>
        <v>0</v>
      </c>
      <c r="O271" s="125">
        <f>Valores!$C$7*B271</f>
        <v>60521.509999999995</v>
      </c>
      <c r="P271" s="125">
        <f>ROUND(IF(B271&lt;15,(Valores!$E$5*B271),Valores!$D$5),2)</f>
        <v>39667.43</v>
      </c>
      <c r="Q271" s="125">
        <v>0</v>
      </c>
      <c r="R271" s="125">
        <f>IF($F$4="NO",IF(Valores!$C$50*B271&gt;Valores!$F$47,Valores!$F$47,Valores!$C$50*B271),IF(Valores!$C$50*B271&gt;Valores!$F$47,Valores!$F$47,Valores!$C$50*B271)/2)</f>
        <v>31879.379999999997</v>
      </c>
      <c r="S271" s="125">
        <f>Valores!$C$18*B271</f>
        <v>19034.8</v>
      </c>
      <c r="T271" s="125">
        <f t="shared" si="53"/>
        <v>19034.8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IF(Valores!$C$99*B271&gt;Valores!$C$98,Valores!$C$98,Valores!$C$99*B271)</f>
        <v>58109.5</v>
      </c>
      <c r="AA271" s="125">
        <f>IF((Valores!$C$28)*B271&gt;Valores!$F$28,Valores!$F$28,(Valores!$C$28)*B271)</f>
        <v>1495.4599999999998</v>
      </c>
      <c r="AB271" s="214">
        <v>0</v>
      </c>
      <c r="AC271" s="125">
        <f t="shared" si="47"/>
        <v>0</v>
      </c>
      <c r="AD271" s="125">
        <f>IF(Valores!$C$29*B271&gt;Valores!$F$29,Valores!$F$29,Valores!$C$29*B271)</f>
        <v>1245.22</v>
      </c>
      <c r="AE271" s="192">
        <v>0</v>
      </c>
      <c r="AF271" s="125">
        <f>ROUND(AE271*Valores!$C$2,2)</f>
        <v>0</v>
      </c>
      <c r="AG271" s="125">
        <f>IF($F$4="NO",IF(Valores!$D$64*'Escala Docente'!B271&gt;Valores!$F$64,Valores!$F$64,Valores!$D$64*'Escala Docente'!B271),IF(Valores!$D$64*'Escala Docente'!B271&gt;Valores!$F$64,Valores!$F$64,Valores!$D$64*'Escala Docente'!B271)/2)+0.05</f>
        <v>28439.32</v>
      </c>
      <c r="AH271" s="125">
        <f>SUM(F271,H271,J271,L271,M271,N271,O271,P271,Q271,R271,T271,U271,V271,X271,Y271,Z271,AA271,AC271,AD271,AF271,AG271)*Valores!$C$104</f>
        <v>42936.267</v>
      </c>
      <c r="AI271" s="125">
        <f t="shared" si="50"/>
        <v>472298.93699999998</v>
      </c>
      <c r="AJ271" s="125">
        <f>IF(Valores!$C$33*B271&gt;Valores!$F$33,Valores!$F$33,Valores!$C$33*B271)</f>
        <v>53666.666666666584</v>
      </c>
      <c r="AK271" s="125">
        <v>0</v>
      </c>
      <c r="AL271" s="125">
        <f>IF(Valores!$C$92*B271&gt;Valores!$C$91,Valores!$C$91,Valores!$C$92*B271)</f>
        <v>0</v>
      </c>
      <c r="AM271" s="125">
        <f>IF(Valores!C$40*B271&gt;Valores!F$39,Valores!F$39,Valores!C$40*B271)</f>
        <v>0</v>
      </c>
      <c r="AN271" s="125">
        <f>IF($F$3="NO",0,IF(Valores!$C$63*B271&gt;Valores!$F$63,Valores!$F$63,Valores!$C$63*B271))</f>
        <v>0</v>
      </c>
      <c r="AO271" s="125">
        <f t="shared" si="48"/>
        <v>53666.666666666584</v>
      </c>
      <c r="AP271" s="125">
        <f>AI271*Valores!$C$72</f>
        <v>-51952.883069999996</v>
      </c>
      <c r="AQ271" s="125">
        <f>IF(AI271&lt;Valores!$E$73,-0.02,IF(AI271&lt;Valores!$F$73,-0.03,-0.04))*AI271</f>
        <v>-9445.9787400000005</v>
      </c>
      <c r="AR271" s="125">
        <f>AI271*Valores!$C$75</f>
        <v>-25976.441534999998</v>
      </c>
      <c r="AS271" s="125">
        <f>Valores!$C$102</f>
        <v>-1270.1600000000001</v>
      </c>
      <c r="AT271" s="125">
        <f>IF($F$5=0,Valores!$C$103,(Valores!$C$103+$F$5*(Valores!$C$103)))</f>
        <v>-3700</v>
      </c>
      <c r="AU271" s="125">
        <f t="shared" si="51"/>
        <v>433620.14032166655</v>
      </c>
      <c r="AV271" s="125">
        <f t="shared" si="45"/>
        <v>-51952.883069999996</v>
      </c>
      <c r="AW271" s="125">
        <f t="shared" si="52"/>
        <v>-9445.9787400000005</v>
      </c>
      <c r="AX271" s="125">
        <f>AI271*Valores!$C$76</f>
        <v>-12752.071298999999</v>
      </c>
      <c r="AY271" s="125">
        <f>AI271*Valores!$C$77</f>
        <v>-1416.8968110000001</v>
      </c>
      <c r="AZ271" s="125">
        <f t="shared" si="49"/>
        <v>450397.77374666656</v>
      </c>
      <c r="BA271" s="125">
        <f>AI271*Valores!$C$79</f>
        <v>75567.829920000004</v>
      </c>
      <c r="BB271" s="125">
        <f>AI271*Valores!$C$80</f>
        <v>33060.925589999999</v>
      </c>
      <c r="BC271" s="125">
        <f>AI271*Valores!$C$81</f>
        <v>4722.9893700000002</v>
      </c>
      <c r="BD271" s="125">
        <f>AI271*Valores!$C$83</f>
        <v>16530.462794999999</v>
      </c>
      <c r="BE271" s="125">
        <f>AI271*Valores!$C$85</f>
        <v>25504.142597999999</v>
      </c>
      <c r="BF271" s="125">
        <f>AI271*Valores!$C$84</f>
        <v>2833.7936220000001</v>
      </c>
      <c r="BG271" s="126"/>
      <c r="BH271" s="126">
        <f t="shared" si="43"/>
        <v>23</v>
      </c>
      <c r="BI271" s="123" t="s">
        <v>8</v>
      </c>
    </row>
    <row r="272" spans="1:61" s="110" customFormat="1" ht="11.25" customHeight="1" x14ac:dyDescent="0.15">
      <c r="A272" s="123" t="s">
        <v>466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4"/>
        <v>1817</v>
      </c>
      <c r="F272" s="125">
        <f>ROUND(E272*Valores!$C$2,2)</f>
        <v>140993.20000000001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47976.85</v>
      </c>
      <c r="N272" s="125">
        <f t="shared" si="46"/>
        <v>0</v>
      </c>
      <c r="O272" s="125">
        <f>Valores!$C$7*B272</f>
        <v>60521.509999999995</v>
      </c>
      <c r="P272" s="125">
        <f>ROUND(IF(B272&lt;15,(Valores!$E$5*B272),Valores!$D$5),2)</f>
        <v>39667.43</v>
      </c>
      <c r="Q272" s="125">
        <v>0</v>
      </c>
      <c r="R272" s="125">
        <f>IF($F$4="NO",IF(Valores!$C$50*B272&gt;Valores!$F$47,Valores!$F$47,Valores!$C$50*B272),IF(Valores!$C$50*B272&gt;Valores!$F$47,Valores!$F$47,Valores!$C$50*B272)/2)</f>
        <v>31879.379999999997</v>
      </c>
      <c r="S272" s="125">
        <f>Valores!$C$18*B272</f>
        <v>19034.8</v>
      </c>
      <c r="T272" s="125">
        <f t="shared" si="53"/>
        <v>19034.8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IF(Valores!$C$99*B272&gt;Valores!$C$98,Valores!$C$98,Valores!$C$99*B272)</f>
        <v>58109.5</v>
      </c>
      <c r="AA272" s="125">
        <f>IF((Valores!$C$28)*B272&gt;Valores!$F$28,Valores!$F$28,(Valores!$C$28)*B272)</f>
        <v>1495.4599999999998</v>
      </c>
      <c r="AB272" s="214">
        <v>0</v>
      </c>
      <c r="AC272" s="125">
        <f t="shared" si="47"/>
        <v>0</v>
      </c>
      <c r="AD272" s="125">
        <f>IF(Valores!$C$29*B272&gt;Valores!$F$29,Valores!$F$29,Valores!$C$29*B272)</f>
        <v>1245.22</v>
      </c>
      <c r="AE272" s="192">
        <v>94</v>
      </c>
      <c r="AF272" s="125">
        <f>ROUND(AE272*Valores!$C$2,2)</f>
        <v>7294.09</v>
      </c>
      <c r="AG272" s="125">
        <f>IF($F$4="NO",IF(Valores!$D$64*'Escala Docente'!B272&gt;Valores!$F$64,Valores!$F$64,Valores!$D$64*'Escala Docente'!B272),IF(Valores!$D$64*'Escala Docente'!B272&gt;Valores!$F$64,Valores!$F$64,Valores!$D$64*'Escala Docente'!B272)/2)+0.05</f>
        <v>28439.32</v>
      </c>
      <c r="AH272" s="125">
        <f>SUM(F272,H272,J272,L272,M272,N272,O272,P272,Q272,R272,T272,U272,V272,X272,Y272,Z272,AA272,AC272,AD272,AF272,AG272)*Valores!$C$104</f>
        <v>43665.676000000007</v>
      </c>
      <c r="AI272" s="125">
        <f t="shared" si="50"/>
        <v>480322.43599999999</v>
      </c>
      <c r="AJ272" s="125">
        <f>IF(Valores!$C$33*B272&gt;Valores!$F$33,Valores!$F$33,Valores!$C$33*B272)</f>
        <v>53666.666666666584</v>
      </c>
      <c r="AK272" s="125">
        <v>0</v>
      </c>
      <c r="AL272" s="125">
        <f>IF(Valores!$C$92*B272&gt;Valores!$C$91,Valores!$C$91,Valores!$C$92*B272)</f>
        <v>0</v>
      </c>
      <c r="AM272" s="125">
        <f>IF(Valores!C$40*B272&gt;Valores!F$39,Valores!F$39,Valores!C$40*B272)</f>
        <v>0</v>
      </c>
      <c r="AN272" s="125">
        <f>IF($F$3="NO",0,IF(Valores!$C$63*B272&gt;Valores!$F$63,Valores!$F$63,Valores!$C$63*B272))</f>
        <v>0</v>
      </c>
      <c r="AO272" s="125">
        <f t="shared" si="48"/>
        <v>53666.666666666584</v>
      </c>
      <c r="AP272" s="125">
        <f>AI272*Valores!$C$72</f>
        <v>-52835.467960000002</v>
      </c>
      <c r="AQ272" s="125">
        <f>IF(AI272&lt;Valores!$E$73,-0.02,IF(AI272&lt;Valores!$F$73,-0.03,-0.04))*AI272</f>
        <v>-9606.4487200000003</v>
      </c>
      <c r="AR272" s="125">
        <f>AI272*Valores!$C$75</f>
        <v>-26417.733980000001</v>
      </c>
      <c r="AS272" s="125">
        <f>Valores!$C$102</f>
        <v>-1270.1600000000001</v>
      </c>
      <c r="AT272" s="125">
        <f>IF($F$5=0,Valores!$C$103,(Valores!$C$103+$F$5*(Valores!$C$103)))</f>
        <v>-3700</v>
      </c>
      <c r="AU272" s="125">
        <f t="shared" si="51"/>
        <v>440159.29200666654</v>
      </c>
      <c r="AV272" s="125">
        <f t="shared" si="45"/>
        <v>-52835.467960000002</v>
      </c>
      <c r="AW272" s="125">
        <f t="shared" si="52"/>
        <v>-9606.4487200000003</v>
      </c>
      <c r="AX272" s="125">
        <f>AI272*Valores!$C$76</f>
        <v>-12968.705771999999</v>
      </c>
      <c r="AY272" s="125">
        <f>AI272*Valores!$C$77</f>
        <v>-1440.967308</v>
      </c>
      <c r="AZ272" s="125">
        <f t="shared" si="49"/>
        <v>457137.51290666661</v>
      </c>
      <c r="BA272" s="125">
        <f>AI272*Valores!$C$79</f>
        <v>76851.589760000003</v>
      </c>
      <c r="BB272" s="125">
        <f>AI272*Valores!$C$80</f>
        <v>33622.570520000001</v>
      </c>
      <c r="BC272" s="125">
        <f>AI272*Valores!$C$81</f>
        <v>4803.2243600000002</v>
      </c>
      <c r="BD272" s="125">
        <f>AI272*Valores!$C$83</f>
        <v>16811.285260000001</v>
      </c>
      <c r="BE272" s="125">
        <f>AI272*Valores!$C$85</f>
        <v>25937.411543999999</v>
      </c>
      <c r="BF272" s="125">
        <f>AI272*Valores!$C$84</f>
        <v>2881.934616</v>
      </c>
      <c r="BG272" s="126"/>
      <c r="BH272" s="126">
        <f t="shared" si="43"/>
        <v>23</v>
      </c>
      <c r="BI272" s="123" t="s">
        <v>8</v>
      </c>
    </row>
    <row r="273" spans="1:61" s="110" customFormat="1" ht="11.25" customHeight="1" x14ac:dyDescent="0.15">
      <c r="A273" s="123" t="s">
        <v>466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4"/>
        <v>1896</v>
      </c>
      <c r="F273" s="125">
        <f>ROUND(E273*Valores!$C$2,2)</f>
        <v>147123.34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50062.8</v>
      </c>
      <c r="N273" s="125">
        <f t="shared" si="46"/>
        <v>0</v>
      </c>
      <c r="O273" s="125">
        <f>Valores!$C$7*B273</f>
        <v>63152.88</v>
      </c>
      <c r="P273" s="125">
        <f>ROUND(IF(B273&lt;15,(Valores!$E$5*B273),Valores!$D$5),2)</f>
        <v>39667.43</v>
      </c>
      <c r="Q273" s="125">
        <v>0</v>
      </c>
      <c r="R273" s="125">
        <f>IF($F$4="NO",IF(Valores!$C$50*B273&gt;Valores!$F$47,Valores!$F$47,Valores!$C$50*B273),IF(Valores!$C$50*B273&gt;Valores!$F$47,Valores!$F$47,Valores!$C$50*B273)/2)</f>
        <v>33265.440000000002</v>
      </c>
      <c r="S273" s="125">
        <f>Valores!$C$18*B273</f>
        <v>19862.400000000001</v>
      </c>
      <c r="T273" s="125">
        <f t="shared" si="53"/>
        <v>19862.400000000001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IF(Valores!$C$99*B273&gt;Valores!$C$98,Valores!$C$98,Valores!$C$99*B273)</f>
        <v>60636</v>
      </c>
      <c r="AA273" s="125">
        <f>IF((Valores!$C$28)*B273&gt;Valores!$F$28,Valores!$F$28,(Valores!$C$28)*B273)</f>
        <v>1560.48</v>
      </c>
      <c r="AB273" s="214">
        <v>0</v>
      </c>
      <c r="AC273" s="125">
        <f t="shared" si="47"/>
        <v>0</v>
      </c>
      <c r="AD273" s="125">
        <f>IF(Valores!$C$29*B273&gt;Valores!$F$29,Valores!$F$29,Valores!$C$29*B273)</f>
        <v>1299.3600000000001</v>
      </c>
      <c r="AE273" s="192">
        <v>0</v>
      </c>
      <c r="AF273" s="125">
        <f>ROUND(AE273*Valores!$C$2,2)</f>
        <v>0</v>
      </c>
      <c r="AG273" s="125">
        <f>IF($F$4="NO",IF(Valores!$D$64*'Escala Docente'!B273&gt;Valores!$F$64,Valores!$F$64,Valores!$D$64*'Escala Docente'!B273),IF(Valores!$D$64*'Escala Docente'!B273&gt;Valores!$F$64,Valores!$F$64,Valores!$D$64*'Escala Docente'!B273)/2)+0.05</f>
        <v>29675.81</v>
      </c>
      <c r="AH273" s="125">
        <f>SUM(F273,H273,J273,L273,M273,N273,O273,P273,Q273,R273,T273,U273,V273,X273,Y273,Z273,AA273,AC273,AD273,AF273,AG273)*Valores!$C$104</f>
        <v>44630.594000000005</v>
      </c>
      <c r="AI273" s="125">
        <f t="shared" si="50"/>
        <v>490936.53399999999</v>
      </c>
      <c r="AJ273" s="125">
        <f>IF(Valores!$C$33*B273&gt;Valores!$F$33,Valores!$F$33,Valores!$C$33*B273)</f>
        <v>55999.999999999913</v>
      </c>
      <c r="AK273" s="125">
        <v>0</v>
      </c>
      <c r="AL273" s="125">
        <f>IF(Valores!$C$92*B273&gt;Valores!$C$91,Valores!$C$91,Valores!$C$92*B273)</f>
        <v>0</v>
      </c>
      <c r="AM273" s="125">
        <f>IF(Valores!C$40*B273&gt;Valores!F$39,Valores!F$39,Valores!C$40*B273)</f>
        <v>0</v>
      </c>
      <c r="AN273" s="125">
        <f>IF($F$3="NO",0,IF(Valores!$C$63*B273&gt;Valores!$F$63,Valores!$F$63,Valores!$C$63*B273))</f>
        <v>0</v>
      </c>
      <c r="AO273" s="125">
        <f t="shared" si="48"/>
        <v>55999.999999999913</v>
      </c>
      <c r="AP273" s="125">
        <f>AI273*Valores!$C$72</f>
        <v>-54003.01874</v>
      </c>
      <c r="AQ273" s="125">
        <f>IF(AI273&lt;Valores!$E$73,-0.02,IF(AI273&lt;Valores!$F$73,-0.03,-0.04))*AI273</f>
        <v>-9818.7306800000006</v>
      </c>
      <c r="AR273" s="125">
        <f>AI273*Valores!$C$75</f>
        <v>-27001.50937</v>
      </c>
      <c r="AS273" s="125">
        <f>Valores!$C$102</f>
        <v>-1270.1600000000001</v>
      </c>
      <c r="AT273" s="125">
        <f>IF($F$5=0,Valores!$C$103,(Valores!$C$103+$F$5*(Valores!$C$103)))</f>
        <v>-3700</v>
      </c>
      <c r="AU273" s="125">
        <f t="shared" si="51"/>
        <v>451143.1152099999</v>
      </c>
      <c r="AV273" s="125">
        <f t="shared" si="45"/>
        <v>-54003.01874</v>
      </c>
      <c r="AW273" s="125">
        <f t="shared" si="52"/>
        <v>-9818.7306800000006</v>
      </c>
      <c r="AX273" s="125">
        <f>AI273*Valores!$C$76</f>
        <v>-13255.286418</v>
      </c>
      <c r="AY273" s="125">
        <f>AI273*Valores!$C$77</f>
        <v>-1472.809602</v>
      </c>
      <c r="AZ273" s="125">
        <f t="shared" si="49"/>
        <v>468386.68855999986</v>
      </c>
      <c r="BA273" s="125">
        <f>AI273*Valores!$C$79</f>
        <v>78549.845440000005</v>
      </c>
      <c r="BB273" s="125">
        <f>AI273*Valores!$C$80</f>
        <v>34365.557380000006</v>
      </c>
      <c r="BC273" s="125">
        <f>AI273*Valores!$C$81</f>
        <v>4909.3653400000003</v>
      </c>
      <c r="BD273" s="125">
        <f>AI273*Valores!$C$83</f>
        <v>17182.778690000003</v>
      </c>
      <c r="BE273" s="125">
        <f>AI273*Valores!$C$85</f>
        <v>26510.572835999999</v>
      </c>
      <c r="BF273" s="125">
        <f>AI273*Valores!$C$84</f>
        <v>2945.6192040000001</v>
      </c>
      <c r="BG273" s="126"/>
      <c r="BH273" s="126">
        <f t="shared" si="43"/>
        <v>24</v>
      </c>
      <c r="BI273" s="123" t="s">
        <v>8</v>
      </c>
    </row>
    <row r="274" spans="1:61" s="110" customFormat="1" ht="11.25" customHeight="1" x14ac:dyDescent="0.15">
      <c r="A274" s="123" t="s">
        <v>466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4"/>
        <v>1896</v>
      </c>
      <c r="F274" s="125">
        <f>ROUND(E274*Valores!$C$2,2)</f>
        <v>147123.34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50062.8</v>
      </c>
      <c r="N274" s="125">
        <f t="shared" si="46"/>
        <v>0</v>
      </c>
      <c r="O274" s="125">
        <f>Valores!$C$7*B274</f>
        <v>63152.88</v>
      </c>
      <c r="P274" s="125">
        <f>ROUND(IF(B274&lt;15,(Valores!$E$5*B274),Valores!$D$5),2)</f>
        <v>39667.43</v>
      </c>
      <c r="Q274" s="125">
        <v>0</v>
      </c>
      <c r="R274" s="125">
        <f>IF($F$4="NO",IF(Valores!$C$50*B274&gt;Valores!$F$47,Valores!$F$47,Valores!$C$50*B274),IF(Valores!$C$50*B274&gt;Valores!$F$47,Valores!$F$47,Valores!$C$50*B274)/2)</f>
        <v>33265.440000000002</v>
      </c>
      <c r="S274" s="125">
        <f>Valores!$C$18*B274</f>
        <v>19862.400000000001</v>
      </c>
      <c r="T274" s="125">
        <f t="shared" si="53"/>
        <v>19862.400000000001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IF(Valores!$C$99*B274&gt;Valores!$C$98,Valores!$C$98,Valores!$C$99*B274)</f>
        <v>60636</v>
      </c>
      <c r="AA274" s="125">
        <f>IF((Valores!$C$28)*B274&gt;Valores!$F$28,Valores!$F$28,(Valores!$C$28)*B274)</f>
        <v>1560.48</v>
      </c>
      <c r="AB274" s="214">
        <v>0</v>
      </c>
      <c r="AC274" s="125">
        <f t="shared" si="47"/>
        <v>0</v>
      </c>
      <c r="AD274" s="125">
        <f>IF(Valores!$C$29*B274&gt;Valores!$F$29,Valores!$F$29,Valores!$C$29*B274)</f>
        <v>1299.3600000000001</v>
      </c>
      <c r="AE274" s="192">
        <v>94</v>
      </c>
      <c r="AF274" s="125">
        <f>ROUND(AE274*Valores!$C$2,2)</f>
        <v>7294.09</v>
      </c>
      <c r="AG274" s="125">
        <f>IF($F$4="NO",IF(Valores!$D$64*'Escala Docente'!B274&gt;Valores!$F$64,Valores!$F$64,Valores!$D$64*'Escala Docente'!B274),IF(Valores!$D$64*'Escala Docente'!B274&gt;Valores!$F$64,Valores!$F$64,Valores!$D$64*'Escala Docente'!B274)/2)+0.05</f>
        <v>29675.81</v>
      </c>
      <c r="AH274" s="125">
        <f>SUM(F274,H274,J274,L274,M274,N274,O274,P274,Q274,R274,T274,U274,V274,X274,Y274,Z274,AA274,AC274,AD274,AF274,AG274)*Valores!$C$104</f>
        <v>45360.003000000004</v>
      </c>
      <c r="AI274" s="125">
        <f t="shared" si="50"/>
        <v>498960.03300000005</v>
      </c>
      <c r="AJ274" s="125">
        <f>IF(Valores!$C$33*B274&gt;Valores!$F$33,Valores!$F$33,Valores!$C$33*B274)</f>
        <v>55999.999999999913</v>
      </c>
      <c r="AK274" s="125">
        <v>0</v>
      </c>
      <c r="AL274" s="125">
        <f>IF(Valores!$C$92*B274&gt;Valores!$C$91,Valores!$C$91,Valores!$C$92*B274)</f>
        <v>0</v>
      </c>
      <c r="AM274" s="125">
        <f>IF(Valores!C$40*B274&gt;Valores!F$39,Valores!F$39,Valores!C$40*B274)</f>
        <v>0</v>
      </c>
      <c r="AN274" s="125">
        <f>IF($F$3="NO",0,IF(Valores!$C$63*B274&gt;Valores!$F$63,Valores!$F$63,Valores!$C$63*B274))</f>
        <v>0</v>
      </c>
      <c r="AO274" s="125">
        <f t="shared" si="48"/>
        <v>55999.999999999913</v>
      </c>
      <c r="AP274" s="125">
        <f>AI274*Valores!$C$72</f>
        <v>-54885.603630000005</v>
      </c>
      <c r="AQ274" s="125">
        <f>IF(AI274&lt;Valores!$E$73,-0.02,IF(AI274&lt;Valores!$F$73,-0.03,-0.04))*AI274</f>
        <v>-9979.2006600000004</v>
      </c>
      <c r="AR274" s="125">
        <f>AI274*Valores!$C$75</f>
        <v>-27442.801815000003</v>
      </c>
      <c r="AS274" s="125">
        <f>Valores!$C$102</f>
        <v>-1270.1600000000001</v>
      </c>
      <c r="AT274" s="125">
        <f>IF($F$5=0,Valores!$C$103,(Valores!$C$103+$F$5*(Valores!$C$103)))</f>
        <v>-3700</v>
      </c>
      <c r="AU274" s="125">
        <f t="shared" si="51"/>
        <v>457682.26689499995</v>
      </c>
      <c r="AV274" s="125">
        <f t="shared" si="45"/>
        <v>-54885.603630000005</v>
      </c>
      <c r="AW274" s="125">
        <f t="shared" si="52"/>
        <v>-9979.2006600000004</v>
      </c>
      <c r="AX274" s="125">
        <f>AI274*Valores!$C$76</f>
        <v>-13471.920891000002</v>
      </c>
      <c r="AY274" s="125">
        <f>AI274*Valores!$C$77</f>
        <v>-1496.8800990000002</v>
      </c>
      <c r="AZ274" s="125">
        <f t="shared" si="49"/>
        <v>475126.42771999992</v>
      </c>
      <c r="BA274" s="125">
        <f>AI274*Valores!$C$79</f>
        <v>79833.605280000003</v>
      </c>
      <c r="BB274" s="125">
        <f>AI274*Valores!$C$80</f>
        <v>34927.202310000008</v>
      </c>
      <c r="BC274" s="125">
        <f>AI274*Valores!$C$81</f>
        <v>4989.6003300000002</v>
      </c>
      <c r="BD274" s="125">
        <f>AI274*Valores!$C$83</f>
        <v>17463.601155000004</v>
      </c>
      <c r="BE274" s="125">
        <f>AI274*Valores!$C$85</f>
        <v>26943.841782000003</v>
      </c>
      <c r="BF274" s="125">
        <f>AI274*Valores!$C$84</f>
        <v>2993.7601980000004</v>
      </c>
      <c r="BG274" s="126"/>
      <c r="BH274" s="126">
        <f t="shared" si="43"/>
        <v>24</v>
      </c>
      <c r="BI274" s="123" t="s">
        <v>8</v>
      </c>
    </row>
    <row r="275" spans="1:61" s="110" customFormat="1" ht="11.25" customHeight="1" x14ac:dyDescent="0.15">
      <c r="A275" s="123" t="s">
        <v>466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4"/>
        <v>1975</v>
      </c>
      <c r="F275" s="125">
        <f>ROUND(E275*Valores!$C$2,2)</f>
        <v>153253.48000000001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52148.75</v>
      </c>
      <c r="N275" s="125">
        <f t="shared" si="46"/>
        <v>0</v>
      </c>
      <c r="O275" s="125">
        <f>Valores!$C$7*B275</f>
        <v>65784.25</v>
      </c>
      <c r="P275" s="125">
        <f>ROUND(IF(B275&lt;15,(Valores!$E$5*B275),Valores!$D$5),2)</f>
        <v>39667.43</v>
      </c>
      <c r="Q275" s="125">
        <v>0</v>
      </c>
      <c r="R275" s="125">
        <f>IF($F$4="NO",IF(Valores!$C$50*B275&gt;Valores!$F$47,Valores!$F$47,Valores!$C$50*B275),IF(Valores!$C$50*B275&gt;Valores!$F$47,Valores!$F$47,Valores!$C$50*B275)/2)</f>
        <v>34651.5</v>
      </c>
      <c r="S275" s="125">
        <f>Valores!$C$18*B275</f>
        <v>20690</v>
      </c>
      <c r="T275" s="125">
        <f t="shared" si="53"/>
        <v>20690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IF(Valores!$C$99*B275&gt;Valores!$C$98,Valores!$C$98,Valores!$C$99*B275)</f>
        <v>63162.5</v>
      </c>
      <c r="AA275" s="125">
        <f>IF((Valores!$C$28)*B275&gt;Valores!$F$28,Valores!$F$28,(Valores!$C$28)*B275)</f>
        <v>1625.5</v>
      </c>
      <c r="AB275" s="214">
        <v>0</v>
      </c>
      <c r="AC275" s="125">
        <f t="shared" si="47"/>
        <v>0</v>
      </c>
      <c r="AD275" s="125">
        <f>IF(Valores!$C$29*B275&gt;Valores!$F$29,Valores!$F$29,Valores!$C$29*B275)</f>
        <v>1353.5</v>
      </c>
      <c r="AE275" s="192">
        <v>0</v>
      </c>
      <c r="AF275" s="125">
        <f>ROUND(AE275*Valores!$C$2,2)</f>
        <v>0</v>
      </c>
      <c r="AG275" s="125">
        <f>IF($F$4="NO",IF(Valores!$D$64*'Escala Docente'!B275&gt;Valores!$F$64,Valores!$F$64,Valores!$D$64*'Escala Docente'!B275),IF(Valores!$D$64*'Escala Docente'!B275&gt;Valores!$F$64,Valores!$F$64,Valores!$D$64*'Escala Docente'!B275)/2)+0.05</f>
        <v>30912.3</v>
      </c>
      <c r="AH275" s="125">
        <f>SUM(F275,H275,J275,L275,M275,N275,O275,P275,Q275,R275,T275,U275,V275,X275,Y275,Z275,AA275,AC275,AD275,AF275,AG275)*Valores!$C$104</f>
        <v>46324.921000000002</v>
      </c>
      <c r="AI275" s="125">
        <f t="shared" si="50"/>
        <v>509574.13099999994</v>
      </c>
      <c r="AJ275" s="125">
        <f>IF(Valores!$C$33*B275&gt;Valores!$F$33,Valores!$F$33,Valores!$C$33*B275)</f>
        <v>58333.333333333248</v>
      </c>
      <c r="AK275" s="125">
        <v>0</v>
      </c>
      <c r="AL275" s="125">
        <f>IF(Valores!$C$92*B275&gt;Valores!$C$91,Valores!$C$91,Valores!$C$92*B275)</f>
        <v>0</v>
      </c>
      <c r="AM275" s="125">
        <f>IF(Valores!C$40*B275&gt;Valores!F$39,Valores!F$39,Valores!C$40*B275)</f>
        <v>0</v>
      </c>
      <c r="AN275" s="125">
        <f>IF($F$3="NO",0,IF(Valores!$C$63*B275&gt;Valores!$F$63,Valores!$F$63,Valores!$C$63*B275))</f>
        <v>0</v>
      </c>
      <c r="AO275" s="125">
        <f t="shared" si="48"/>
        <v>58333.333333333248</v>
      </c>
      <c r="AP275" s="125">
        <f>AI275*Valores!$C$72</f>
        <v>-56053.154409999996</v>
      </c>
      <c r="AQ275" s="125">
        <f>IF(AI275&lt;Valores!$E$73,-0.02,IF(AI275&lt;Valores!$F$73,-0.03,-0.04))*AI275</f>
        <v>-10191.482619999999</v>
      </c>
      <c r="AR275" s="125">
        <f>AI275*Valores!$C$75</f>
        <v>-28026.577204999998</v>
      </c>
      <c r="AS275" s="125">
        <f>Valores!$C$102</f>
        <v>-1270.1600000000001</v>
      </c>
      <c r="AT275" s="125">
        <f>IF($F$5=0,Valores!$C$103,(Valores!$C$103+$F$5*(Valores!$C$103)))</f>
        <v>-3700</v>
      </c>
      <c r="AU275" s="125">
        <f t="shared" si="51"/>
        <v>468666.0900983332</v>
      </c>
      <c r="AV275" s="125">
        <f t="shared" si="45"/>
        <v>-56053.154409999996</v>
      </c>
      <c r="AW275" s="125">
        <f t="shared" si="52"/>
        <v>-10191.482619999999</v>
      </c>
      <c r="AX275" s="125">
        <f>AI275*Valores!$C$76</f>
        <v>-13758.501536999998</v>
      </c>
      <c r="AY275" s="125">
        <f>AI275*Valores!$C$77</f>
        <v>-1528.7223929999998</v>
      </c>
      <c r="AZ275" s="125">
        <f t="shared" si="49"/>
        <v>486375.60337333317</v>
      </c>
      <c r="BA275" s="125">
        <f>AI275*Valores!$C$79</f>
        <v>81531.860959999991</v>
      </c>
      <c r="BB275" s="125">
        <f>AI275*Valores!$C$80</f>
        <v>35670.189169999998</v>
      </c>
      <c r="BC275" s="125">
        <f>AI275*Valores!$C$81</f>
        <v>5095.7413099999994</v>
      </c>
      <c r="BD275" s="125">
        <f>AI275*Valores!$C$83</f>
        <v>17835.094584999999</v>
      </c>
      <c r="BE275" s="125">
        <f>AI275*Valores!$C$85</f>
        <v>27517.003073999997</v>
      </c>
      <c r="BF275" s="125">
        <f>AI275*Valores!$C$84</f>
        <v>3057.4447859999996</v>
      </c>
      <c r="BG275" s="126"/>
      <c r="BH275" s="126">
        <f t="shared" si="43"/>
        <v>25</v>
      </c>
      <c r="BI275" s="123" t="s">
        <v>4</v>
      </c>
    </row>
    <row r="276" spans="1:61" s="110" customFormat="1" ht="11.25" customHeight="1" x14ac:dyDescent="0.15">
      <c r="A276" s="123" t="s">
        <v>466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4"/>
        <v>1975</v>
      </c>
      <c r="F276" s="125">
        <f>ROUND(E276*Valores!$C$2,2)</f>
        <v>153253.48000000001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52148.75</v>
      </c>
      <c r="N276" s="125">
        <f t="shared" si="46"/>
        <v>0</v>
      </c>
      <c r="O276" s="125">
        <f>Valores!$C$7*B276</f>
        <v>65784.25</v>
      </c>
      <c r="P276" s="125">
        <f>ROUND(IF(B276&lt;15,(Valores!$E$5*B276),Valores!$D$5),2)</f>
        <v>39667.43</v>
      </c>
      <c r="Q276" s="125">
        <v>0</v>
      </c>
      <c r="R276" s="125">
        <f>IF($F$4="NO",IF(Valores!$C$50*B276&gt;Valores!$F$47,Valores!$F$47,Valores!$C$50*B276),IF(Valores!$C$50*B276&gt;Valores!$F$47,Valores!$F$47,Valores!$C$50*B276)/2)</f>
        <v>34651.5</v>
      </c>
      <c r="S276" s="125">
        <f>Valores!$C$18*B276</f>
        <v>20690</v>
      </c>
      <c r="T276" s="125">
        <f t="shared" si="53"/>
        <v>20690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IF(Valores!$C$99*B276&gt;Valores!$C$98,Valores!$C$98,Valores!$C$99*B276)</f>
        <v>63162.5</v>
      </c>
      <c r="AA276" s="125">
        <f>IF((Valores!$C$28)*B276&gt;Valores!$F$28,Valores!$F$28,(Valores!$C$28)*B276)</f>
        <v>1625.5</v>
      </c>
      <c r="AB276" s="214">
        <v>0</v>
      </c>
      <c r="AC276" s="125">
        <f t="shared" si="47"/>
        <v>0</v>
      </c>
      <c r="AD276" s="125">
        <f>IF(Valores!$C$29*B276&gt;Valores!$F$29,Valores!$F$29,Valores!$C$29*B276)</f>
        <v>1353.5</v>
      </c>
      <c r="AE276" s="192">
        <v>94</v>
      </c>
      <c r="AF276" s="125">
        <f>ROUND(AE276*Valores!$C$2,2)</f>
        <v>7294.09</v>
      </c>
      <c r="AG276" s="125">
        <f>IF($F$4="NO",IF(Valores!$D$64*'Escala Docente'!B276&gt;Valores!$F$64,Valores!$F$64,Valores!$D$64*'Escala Docente'!B276),IF(Valores!$D$64*'Escala Docente'!B276&gt;Valores!$F$64,Valores!$F$64,Valores!$D$64*'Escala Docente'!B276)/2)+0.05</f>
        <v>30912.3</v>
      </c>
      <c r="AH276" s="125">
        <f>SUM(F276,H276,J276,L276,M276,N276,O276,P276,Q276,R276,T276,U276,V276,X276,Y276,Z276,AA276,AC276,AD276,AF276,AG276)*Valores!$C$104</f>
        <v>47054.33</v>
      </c>
      <c r="AI276" s="125">
        <f t="shared" si="50"/>
        <v>517597.63</v>
      </c>
      <c r="AJ276" s="125">
        <f>IF(Valores!$C$33*B276&gt;Valores!$F$33,Valores!$F$33,Valores!$C$33*B276)</f>
        <v>58333.333333333248</v>
      </c>
      <c r="AK276" s="125">
        <v>0</v>
      </c>
      <c r="AL276" s="125">
        <f>IF(Valores!$C$92*B276&gt;Valores!$C$91,Valores!$C$91,Valores!$C$92*B276)</f>
        <v>0</v>
      </c>
      <c r="AM276" s="125">
        <f>IF(Valores!C$40*B276&gt;Valores!F$39,Valores!F$39,Valores!C$40*B276)</f>
        <v>0</v>
      </c>
      <c r="AN276" s="125">
        <f>IF($F$3="NO",0,IF(Valores!$C$63*B276&gt;Valores!$F$63,Valores!$F$63,Valores!$C$63*B276))</f>
        <v>0</v>
      </c>
      <c r="AO276" s="125">
        <f t="shared" si="48"/>
        <v>58333.333333333248</v>
      </c>
      <c r="AP276" s="125">
        <f>AI276*Valores!$C$72</f>
        <v>-56935.739300000001</v>
      </c>
      <c r="AQ276" s="125">
        <f>IF(AI276&lt;Valores!$E$73,-0.02,IF(AI276&lt;Valores!$F$73,-0.03,-0.04))*AI276</f>
        <v>-10351.952600000001</v>
      </c>
      <c r="AR276" s="125">
        <f>AI276*Valores!$C$75</f>
        <v>-28467.869650000001</v>
      </c>
      <c r="AS276" s="125">
        <f>Valores!$C$102</f>
        <v>-1270.1600000000001</v>
      </c>
      <c r="AT276" s="125">
        <f>IF($F$5=0,Valores!$C$103,(Valores!$C$103+$F$5*(Valores!$C$103)))</f>
        <v>-3700</v>
      </c>
      <c r="AU276" s="125">
        <f t="shared" si="51"/>
        <v>475205.24178333324</v>
      </c>
      <c r="AV276" s="125">
        <f t="shared" si="45"/>
        <v>-56935.739300000001</v>
      </c>
      <c r="AW276" s="125">
        <f t="shared" si="52"/>
        <v>-10351.952600000001</v>
      </c>
      <c r="AX276" s="125">
        <f>AI276*Valores!$C$76</f>
        <v>-13975.13601</v>
      </c>
      <c r="AY276" s="125">
        <f>AI276*Valores!$C$77</f>
        <v>-1552.7928899999999</v>
      </c>
      <c r="AZ276" s="125">
        <f t="shared" si="49"/>
        <v>493115.34253333323</v>
      </c>
      <c r="BA276" s="125">
        <f>AI276*Valores!$C$79</f>
        <v>82815.620800000004</v>
      </c>
      <c r="BB276" s="125">
        <f>AI276*Valores!$C$80</f>
        <v>36231.834100000007</v>
      </c>
      <c r="BC276" s="125">
        <f>AI276*Valores!$C$81</f>
        <v>5175.9763000000003</v>
      </c>
      <c r="BD276" s="125">
        <f>AI276*Valores!$C$83</f>
        <v>18115.917050000004</v>
      </c>
      <c r="BE276" s="125">
        <f>AI276*Valores!$C$85</f>
        <v>27950.27202</v>
      </c>
      <c r="BF276" s="125">
        <f>AI276*Valores!$C$84</f>
        <v>3105.5857799999999</v>
      </c>
      <c r="BG276" s="126"/>
      <c r="BH276" s="126">
        <f t="shared" si="43"/>
        <v>25</v>
      </c>
      <c r="BI276" s="123" t="s">
        <v>4</v>
      </c>
    </row>
    <row r="277" spans="1:61" s="110" customFormat="1" ht="11.25" customHeight="1" x14ac:dyDescent="0.15">
      <c r="A277" s="123" t="s">
        <v>466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4"/>
        <v>2054</v>
      </c>
      <c r="F277" s="125">
        <f>ROUND(E277*Valores!$C$2,2)</f>
        <v>159383.62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54234.7</v>
      </c>
      <c r="N277" s="125">
        <f t="shared" si="46"/>
        <v>0</v>
      </c>
      <c r="O277" s="125">
        <f>Valores!$C$7*B277</f>
        <v>68415.62</v>
      </c>
      <c r="P277" s="125">
        <f>ROUND(IF(B277&lt;15,(Valores!$E$5*B277),Valores!$D$5),2)</f>
        <v>39667.43</v>
      </c>
      <c r="Q277" s="125">
        <v>0</v>
      </c>
      <c r="R277" s="125">
        <f>IF($F$4="NO",IF(Valores!$C$50*B277&gt;Valores!$F$47,Valores!$F$47,Valores!$C$50*B277),IF(Valores!$C$50*B277&gt;Valores!$F$47,Valores!$F$47,Valores!$C$50*B277)/2)</f>
        <v>36037.56</v>
      </c>
      <c r="S277" s="125">
        <f>Valores!$C$18*B277</f>
        <v>21517.600000000002</v>
      </c>
      <c r="T277" s="125">
        <f t="shared" si="53"/>
        <v>21517.599999999999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IF(Valores!$C$99*B277&gt;Valores!$C$98,Valores!$C$98,Valores!$C$99*B277)</f>
        <v>65689</v>
      </c>
      <c r="AA277" s="125">
        <f>IF((Valores!$C$28)*B277&gt;Valores!$F$28,Valores!$F$28,(Valores!$C$28)*B277)</f>
        <v>1690.52</v>
      </c>
      <c r="AB277" s="214">
        <v>0</v>
      </c>
      <c r="AC277" s="125">
        <f t="shared" si="47"/>
        <v>0</v>
      </c>
      <c r="AD277" s="125">
        <f>IF(Valores!$C$29*B277&gt;Valores!$F$29,Valores!$F$29,Valores!$C$29*B277)</f>
        <v>1407.64</v>
      </c>
      <c r="AE277" s="192">
        <v>0</v>
      </c>
      <c r="AF277" s="125">
        <f>ROUND(AE277*Valores!$C$2,2)</f>
        <v>0</v>
      </c>
      <c r="AG277" s="125">
        <f>IF($F$4="NO",IF(Valores!$D$64*'Escala Docente'!B277&gt;Valores!$F$64,Valores!$F$64,Valores!$D$64*'Escala Docente'!B277),IF(Valores!$D$64*'Escala Docente'!B277&gt;Valores!$F$64,Valores!$F$64,Valores!$D$64*'Escala Docente'!B277)/2)+0.05</f>
        <v>32148.79</v>
      </c>
      <c r="AH277" s="125">
        <f>SUM(F277,H277,J277,L277,M277,N277,O277,P277,Q277,R277,T277,U277,V277,X277,Y277,Z277,AA277,AC277,AD277,AF277,AG277)*Valores!$C$104</f>
        <v>48019.248</v>
      </c>
      <c r="AI277" s="125">
        <f t="shared" si="50"/>
        <v>528211.728</v>
      </c>
      <c r="AJ277" s="125">
        <f>IF(Valores!$C$33*B277&gt;Valores!$F$33,Valores!$F$33,Valores!$C$33*B277)</f>
        <v>60666.666666666577</v>
      </c>
      <c r="AK277" s="125">
        <v>0</v>
      </c>
      <c r="AL277" s="125">
        <f>IF(Valores!$C$92*B277&gt;Valores!$C$91,Valores!$C$91,Valores!$C$92*B277)</f>
        <v>0</v>
      </c>
      <c r="AM277" s="125">
        <f>IF(Valores!C$40*B277&gt;Valores!F$39,Valores!F$39,Valores!C$40*B277)</f>
        <v>0</v>
      </c>
      <c r="AN277" s="125">
        <f>IF($F$3="NO",0,IF(Valores!$C$63*B277&gt;Valores!$F$63,Valores!$F$63,Valores!$C$63*B277))</f>
        <v>0</v>
      </c>
      <c r="AO277" s="125">
        <f t="shared" si="48"/>
        <v>60666.666666666577</v>
      </c>
      <c r="AP277" s="125">
        <f>AI277*Valores!$C$72</f>
        <v>-58103.290079999999</v>
      </c>
      <c r="AQ277" s="125">
        <f>IF(AI277&lt;Valores!$E$73,-0.02,IF(AI277&lt;Valores!$F$73,-0.03,-0.04))*AI277</f>
        <v>-10564.234560000001</v>
      </c>
      <c r="AR277" s="125">
        <f>AI277*Valores!$C$75</f>
        <v>-29051.645039999999</v>
      </c>
      <c r="AS277" s="125">
        <f>Valores!$C$102</f>
        <v>-1270.1600000000001</v>
      </c>
      <c r="AT277" s="125">
        <f>IF($F$5=0,Valores!$C$103,(Valores!$C$103+$F$5*(Valores!$C$103)))</f>
        <v>-3700</v>
      </c>
      <c r="AU277" s="125">
        <f t="shared" si="51"/>
        <v>486189.06498666655</v>
      </c>
      <c r="AV277" s="125">
        <f t="shared" si="45"/>
        <v>-58103.290079999999</v>
      </c>
      <c r="AW277" s="125">
        <f t="shared" si="52"/>
        <v>-10564.234560000001</v>
      </c>
      <c r="AX277" s="125">
        <f>AI277*Valores!$C$76</f>
        <v>-14261.716656000001</v>
      </c>
      <c r="AY277" s="125">
        <f>AI277*Valores!$C$77</f>
        <v>-1584.635184</v>
      </c>
      <c r="AZ277" s="125">
        <f t="shared" si="49"/>
        <v>504364.51818666665</v>
      </c>
      <c r="BA277" s="125">
        <f>AI277*Valores!$C$79</f>
        <v>84513.876480000006</v>
      </c>
      <c r="BB277" s="125">
        <f>AI277*Valores!$C$80</f>
        <v>36974.820960000005</v>
      </c>
      <c r="BC277" s="125">
        <f>AI277*Valores!$C$81</f>
        <v>5282.1172800000004</v>
      </c>
      <c r="BD277" s="125">
        <f>AI277*Valores!$C$83</f>
        <v>18487.410480000002</v>
      </c>
      <c r="BE277" s="125">
        <f>AI277*Valores!$C$85</f>
        <v>28523.433312000001</v>
      </c>
      <c r="BF277" s="125">
        <f>AI277*Valores!$C$84</f>
        <v>3169.270368</v>
      </c>
      <c r="BG277" s="126"/>
      <c r="BH277" s="126">
        <f t="shared" si="43"/>
        <v>26</v>
      </c>
      <c r="BI277" s="123" t="s">
        <v>4</v>
      </c>
    </row>
    <row r="278" spans="1:61" s="110" customFormat="1" ht="11.25" customHeight="1" x14ac:dyDescent="0.15">
      <c r="A278" s="123" t="s">
        <v>466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4"/>
        <v>2054</v>
      </c>
      <c r="F278" s="125">
        <f>ROUND(E278*Valores!$C$2,2)</f>
        <v>159383.62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54234.7</v>
      </c>
      <c r="N278" s="125">
        <f t="shared" si="46"/>
        <v>0</v>
      </c>
      <c r="O278" s="125">
        <f>Valores!$C$7*B278</f>
        <v>68415.62</v>
      </c>
      <c r="P278" s="125">
        <f>ROUND(IF(B278&lt;15,(Valores!$E$5*B278),Valores!$D$5),2)</f>
        <v>39667.43</v>
      </c>
      <c r="Q278" s="125">
        <v>0</v>
      </c>
      <c r="R278" s="125">
        <f>IF($F$4="NO",IF(Valores!$C$50*B278&gt;Valores!$F$47,Valores!$F$47,Valores!$C$50*B278),IF(Valores!$C$50*B278&gt;Valores!$F$47,Valores!$F$47,Valores!$C$50*B278)/2)</f>
        <v>36037.56</v>
      </c>
      <c r="S278" s="125">
        <f>Valores!$C$18*B278</f>
        <v>21517.600000000002</v>
      </c>
      <c r="T278" s="125">
        <f t="shared" si="53"/>
        <v>21517.599999999999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IF(Valores!$C$99*B278&gt;Valores!$C$98,Valores!$C$98,Valores!$C$99*B278)</f>
        <v>65689</v>
      </c>
      <c r="AA278" s="125">
        <f>IF((Valores!$C$28)*B278&gt;Valores!$F$28,Valores!$F$28,(Valores!$C$28)*B278)</f>
        <v>1690.52</v>
      </c>
      <c r="AB278" s="214">
        <v>0</v>
      </c>
      <c r="AC278" s="125">
        <f t="shared" si="47"/>
        <v>0</v>
      </c>
      <c r="AD278" s="125">
        <f>IF(Valores!$C$29*B278&gt;Valores!$F$29,Valores!$F$29,Valores!$C$29*B278)</f>
        <v>1407.64</v>
      </c>
      <c r="AE278" s="192">
        <v>94</v>
      </c>
      <c r="AF278" s="125">
        <f>ROUND(AE278*Valores!$C$2,2)</f>
        <v>7294.09</v>
      </c>
      <c r="AG278" s="125">
        <f>IF($F$4="NO",IF(Valores!$D$64*'Escala Docente'!B278&gt;Valores!$F$64,Valores!$F$64,Valores!$D$64*'Escala Docente'!B278),IF(Valores!$D$64*'Escala Docente'!B278&gt;Valores!$F$64,Valores!$F$64,Valores!$D$64*'Escala Docente'!B278)/2)+0.05</f>
        <v>32148.79</v>
      </c>
      <c r="AH278" s="125">
        <f>SUM(F278,H278,J278,L278,M278,N278,O278,P278,Q278,R278,T278,U278,V278,X278,Y278,Z278,AA278,AC278,AD278,AF278,AG278)*Valores!$C$104</f>
        <v>48748.657000000007</v>
      </c>
      <c r="AI278" s="125">
        <f t="shared" si="50"/>
        <v>536235.22699999996</v>
      </c>
      <c r="AJ278" s="125">
        <f>IF(Valores!$C$33*B278&gt;Valores!$F$33,Valores!$F$33,Valores!$C$33*B278)</f>
        <v>60666.666666666577</v>
      </c>
      <c r="AK278" s="125">
        <v>0</v>
      </c>
      <c r="AL278" s="125">
        <f>IF(Valores!$C$92*B278&gt;Valores!$C$91,Valores!$C$91,Valores!$C$92*B278)</f>
        <v>0</v>
      </c>
      <c r="AM278" s="125">
        <f>IF(Valores!C$40*B278&gt;Valores!F$39,Valores!F$39,Valores!C$40*B278)</f>
        <v>0</v>
      </c>
      <c r="AN278" s="125">
        <f>IF($F$3="NO",0,IF(Valores!$C$63*B278&gt;Valores!$F$63,Valores!$F$63,Valores!$C$63*B278))</f>
        <v>0</v>
      </c>
      <c r="AO278" s="125">
        <f t="shared" si="48"/>
        <v>60666.666666666577</v>
      </c>
      <c r="AP278" s="125">
        <f>AI278*Valores!$C$72</f>
        <v>-58985.874969999997</v>
      </c>
      <c r="AQ278" s="125">
        <f>IF(AI278&lt;Valores!$E$73,-0.02,IF(AI278&lt;Valores!$F$73,-0.03,-0.04))*AI278</f>
        <v>-10724.704539999999</v>
      </c>
      <c r="AR278" s="125">
        <f>AI278*Valores!$C$75</f>
        <v>-29492.937484999999</v>
      </c>
      <c r="AS278" s="125">
        <f>Valores!$C$102</f>
        <v>-1270.1600000000001</v>
      </c>
      <c r="AT278" s="125">
        <f>IF($F$5=0,Valores!$C$103,(Valores!$C$103+$F$5*(Valores!$C$103)))</f>
        <v>-3700</v>
      </c>
      <c r="AU278" s="125">
        <f t="shared" si="51"/>
        <v>492728.21667166654</v>
      </c>
      <c r="AV278" s="125">
        <f t="shared" si="45"/>
        <v>-58985.874969999997</v>
      </c>
      <c r="AW278" s="125">
        <f t="shared" si="52"/>
        <v>-10724.704539999999</v>
      </c>
      <c r="AX278" s="125">
        <f>AI278*Valores!$C$76</f>
        <v>-14478.351128999999</v>
      </c>
      <c r="AY278" s="125">
        <f>AI278*Valores!$C$77</f>
        <v>-1608.7056809999999</v>
      </c>
      <c r="AZ278" s="125">
        <f t="shared" si="49"/>
        <v>511104.25734666659</v>
      </c>
      <c r="BA278" s="125">
        <f>AI278*Valores!$C$79</f>
        <v>85797.636319999991</v>
      </c>
      <c r="BB278" s="125">
        <f>AI278*Valores!$C$80</f>
        <v>37536.465889999999</v>
      </c>
      <c r="BC278" s="125">
        <f>AI278*Valores!$C$81</f>
        <v>5362.3522699999994</v>
      </c>
      <c r="BD278" s="125">
        <f>AI278*Valores!$C$83</f>
        <v>18768.232945</v>
      </c>
      <c r="BE278" s="125">
        <f>AI278*Valores!$C$85</f>
        <v>28956.702257999998</v>
      </c>
      <c r="BF278" s="125">
        <f>AI278*Valores!$C$84</f>
        <v>3217.4113619999998</v>
      </c>
      <c r="BG278" s="126"/>
      <c r="BH278" s="126">
        <f t="shared" si="43"/>
        <v>26</v>
      </c>
      <c r="BI278" s="123" t="s">
        <v>4</v>
      </c>
    </row>
    <row r="279" spans="1:61" s="110" customFormat="1" ht="11.25" customHeight="1" x14ac:dyDescent="0.15">
      <c r="A279" s="123" t="s">
        <v>466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4"/>
        <v>2133</v>
      </c>
      <c r="F279" s="125">
        <f>ROUND(E279*Valores!$C$2,2)</f>
        <v>165513.76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56320.65</v>
      </c>
      <c r="N279" s="125">
        <f t="shared" si="46"/>
        <v>0</v>
      </c>
      <c r="O279" s="125">
        <f>Valores!$C$7*B279</f>
        <v>71046.989999999991</v>
      </c>
      <c r="P279" s="125">
        <f>ROUND(IF(B279&lt;15,(Valores!$E$5*B279),Valores!$D$5),2)</f>
        <v>39667.43</v>
      </c>
      <c r="Q279" s="125">
        <v>0</v>
      </c>
      <c r="R279" s="125">
        <f>IF($F$4="NO",IF(Valores!$C$50*B279&gt;Valores!$F$47,Valores!$F$47,Valores!$C$50*B279),IF(Valores!$C$50*B279&gt;Valores!$F$47,Valores!$F$47,Valores!$C$50*B279)/2)</f>
        <v>37423.619999999995</v>
      </c>
      <c r="S279" s="125">
        <f>Valores!$C$18*B279</f>
        <v>22345.200000000001</v>
      </c>
      <c r="T279" s="125">
        <f t="shared" si="53"/>
        <v>22345.200000000001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IF(Valores!$C$99*B279&gt;Valores!$C$98,Valores!$C$98,Valores!$C$99*B279)</f>
        <v>68215.5</v>
      </c>
      <c r="AA279" s="125">
        <f>IF((Valores!$C$28)*B279&gt;Valores!$F$28,Valores!$F$28,(Valores!$C$28)*B279)</f>
        <v>1755.54</v>
      </c>
      <c r="AB279" s="214">
        <v>0</v>
      </c>
      <c r="AC279" s="125">
        <f t="shared" si="47"/>
        <v>0</v>
      </c>
      <c r="AD279" s="125">
        <f>IF(Valores!$C$29*B279&gt;Valores!$F$29,Valores!$F$29,Valores!$C$29*B279)</f>
        <v>1461.78</v>
      </c>
      <c r="AE279" s="192">
        <v>0</v>
      </c>
      <c r="AF279" s="125">
        <f>ROUND(AE279*Valores!$C$2,2)</f>
        <v>0</v>
      </c>
      <c r="AG279" s="125">
        <f>IF($F$4="NO",IF(Valores!$D$64*'Escala Docente'!B279&gt;Valores!$F$64,Valores!$F$64,Valores!$D$64*'Escala Docente'!B279),IF(Valores!$D$64*'Escala Docente'!B279&gt;Valores!$F$64,Valores!$F$64,Valores!$D$64*'Escala Docente'!B279)/2)+0.06</f>
        <v>33385.29</v>
      </c>
      <c r="AH279" s="125">
        <f>SUM(F279,H279,J279,L279,M279,N279,O279,P279,Q279,R279,T279,U279,V279,X279,Y279,Z279,AA279,AC279,AD279,AF279,AG279)*Valores!$C$104</f>
        <v>49713.576000000001</v>
      </c>
      <c r="AI279" s="125">
        <f t="shared" si="50"/>
        <v>546849.33600000001</v>
      </c>
      <c r="AJ279" s="125">
        <f>IF(Valores!$C$33*B279&gt;Valores!$F$33,Valores!$F$33,Valores!$C$33*B279)</f>
        <v>62999.999999999905</v>
      </c>
      <c r="AK279" s="125">
        <v>0</v>
      </c>
      <c r="AL279" s="125">
        <f>IF(Valores!$C$92*B279&gt;Valores!$C$91,Valores!$C$91,Valores!$C$92*B279)</f>
        <v>0</v>
      </c>
      <c r="AM279" s="125">
        <f>IF(Valores!C$40*B279&gt;Valores!F$39,Valores!F$39,Valores!C$40*B279)</f>
        <v>0</v>
      </c>
      <c r="AN279" s="125">
        <f>IF($F$3="NO",0,IF(Valores!$C$63*B279&gt;Valores!$F$63,Valores!$F$63,Valores!$C$63*B279))</f>
        <v>0</v>
      </c>
      <c r="AO279" s="125">
        <f t="shared" si="48"/>
        <v>62999.999999999905</v>
      </c>
      <c r="AP279" s="125">
        <f>AI279*Valores!$C$72</f>
        <v>-60153.426960000004</v>
      </c>
      <c r="AQ279" s="125">
        <f>IF(AI279&lt;Valores!$E$73,-0.02,IF(AI279&lt;Valores!$F$73,-0.03,-0.04))*AI279</f>
        <v>-10936.986720000001</v>
      </c>
      <c r="AR279" s="125">
        <f>AI279*Valores!$C$75</f>
        <v>-30076.713480000002</v>
      </c>
      <c r="AS279" s="125">
        <f>Valores!$C$102</f>
        <v>-1270.1600000000001</v>
      </c>
      <c r="AT279" s="125">
        <f>IF($F$5=0,Valores!$C$103,(Valores!$C$103+$F$5*(Valores!$C$103)))</f>
        <v>-3700</v>
      </c>
      <c r="AU279" s="125">
        <f t="shared" si="51"/>
        <v>503712.04883999989</v>
      </c>
      <c r="AV279" s="125">
        <f t="shared" si="45"/>
        <v>-60153.426960000004</v>
      </c>
      <c r="AW279" s="125">
        <f t="shared" si="52"/>
        <v>-10936.986720000001</v>
      </c>
      <c r="AX279" s="125">
        <f>AI279*Valores!$C$76</f>
        <v>-14764.932072</v>
      </c>
      <c r="AY279" s="125">
        <f>AI279*Valores!$C$77</f>
        <v>-1640.548008</v>
      </c>
      <c r="AZ279" s="125">
        <f t="shared" si="49"/>
        <v>522353.44223999989</v>
      </c>
      <c r="BA279" s="125">
        <f>AI279*Valores!$C$79</f>
        <v>87495.893760000006</v>
      </c>
      <c r="BB279" s="125">
        <f>AI279*Valores!$C$80</f>
        <v>38279.453520000003</v>
      </c>
      <c r="BC279" s="125">
        <f>AI279*Valores!$C$81</f>
        <v>5468.4933600000004</v>
      </c>
      <c r="BD279" s="125">
        <f>AI279*Valores!$C$83</f>
        <v>19139.726760000001</v>
      </c>
      <c r="BE279" s="125">
        <f>AI279*Valores!$C$85</f>
        <v>29529.864143999999</v>
      </c>
      <c r="BF279" s="125">
        <f>AI279*Valores!$C$84</f>
        <v>3281.096016</v>
      </c>
      <c r="BG279" s="126"/>
      <c r="BH279" s="126">
        <f t="shared" si="43"/>
        <v>27</v>
      </c>
      <c r="BI279" s="123" t="s">
        <v>8</v>
      </c>
    </row>
    <row r="280" spans="1:61" s="110" customFormat="1" ht="11.25" customHeight="1" x14ac:dyDescent="0.15">
      <c r="A280" s="123" t="s">
        <v>466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4"/>
        <v>2133</v>
      </c>
      <c r="F280" s="125">
        <f>ROUND(E280*Valores!$C$2,2)</f>
        <v>165513.76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56320.65</v>
      </c>
      <c r="N280" s="125">
        <f t="shared" si="46"/>
        <v>0</v>
      </c>
      <c r="O280" s="125">
        <f>Valores!$C$7*B280</f>
        <v>71046.989999999991</v>
      </c>
      <c r="P280" s="125">
        <f>ROUND(IF(B280&lt;15,(Valores!$E$5*B280),Valores!$D$5),2)</f>
        <v>39667.43</v>
      </c>
      <c r="Q280" s="125">
        <v>0</v>
      </c>
      <c r="R280" s="125">
        <f>IF($F$4="NO",IF(Valores!$C$50*B280&gt;Valores!$F$47,Valores!$F$47,Valores!$C$50*B280),IF(Valores!$C$50*B280&gt;Valores!$F$47,Valores!$F$47,Valores!$C$50*B280)/2)</f>
        <v>37423.619999999995</v>
      </c>
      <c r="S280" s="125">
        <f>Valores!$C$18*B280</f>
        <v>22345.200000000001</v>
      </c>
      <c r="T280" s="125">
        <f t="shared" si="53"/>
        <v>22345.200000000001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IF(Valores!$C$99*B280&gt;Valores!$C$98,Valores!$C$98,Valores!$C$99*B280)</f>
        <v>68215.5</v>
      </c>
      <c r="AA280" s="125">
        <f>IF((Valores!$C$28)*B280&gt;Valores!$F$28,Valores!$F$28,(Valores!$C$28)*B280)</f>
        <v>1755.54</v>
      </c>
      <c r="AB280" s="214">
        <v>0</v>
      </c>
      <c r="AC280" s="125">
        <f t="shared" si="47"/>
        <v>0</v>
      </c>
      <c r="AD280" s="125">
        <f>IF(Valores!$C$29*B280&gt;Valores!$F$29,Valores!$F$29,Valores!$C$29*B280)</f>
        <v>1461.78</v>
      </c>
      <c r="AE280" s="192">
        <v>94</v>
      </c>
      <c r="AF280" s="125">
        <f>ROUND(AE280*Valores!$C$2,2)</f>
        <v>7294.09</v>
      </c>
      <c r="AG280" s="125">
        <f>IF($F$4="NO",IF(Valores!$D$64*'Escala Docente'!B280&gt;Valores!$F$64,Valores!$F$64,Valores!$D$64*'Escala Docente'!B280),IF(Valores!$D$64*'Escala Docente'!B280&gt;Valores!$F$64,Valores!$F$64,Valores!$D$64*'Escala Docente'!B280)/2)+0.06</f>
        <v>33385.29</v>
      </c>
      <c r="AH280" s="125">
        <f>SUM(F280,H280,J280,L280,M280,N280,O280,P280,Q280,R280,T280,U280,V280,X280,Y280,Z280,AA280,AC280,AD280,AF280,AG280)*Valores!$C$104</f>
        <v>50442.985000000008</v>
      </c>
      <c r="AI280" s="125">
        <f t="shared" si="50"/>
        <v>554872.83500000008</v>
      </c>
      <c r="AJ280" s="125">
        <f>IF(Valores!$C$33*B280&gt;Valores!$F$33,Valores!$F$33,Valores!$C$33*B280)</f>
        <v>62999.999999999905</v>
      </c>
      <c r="AK280" s="125">
        <v>0</v>
      </c>
      <c r="AL280" s="125">
        <f>IF(Valores!$C$92*B280&gt;Valores!$C$91,Valores!$C$91,Valores!$C$92*B280)</f>
        <v>0</v>
      </c>
      <c r="AM280" s="125">
        <f>IF(Valores!C$40*B280&gt;Valores!F$39,Valores!F$39,Valores!C$40*B280)</f>
        <v>0</v>
      </c>
      <c r="AN280" s="125">
        <f>IF($F$3="NO",0,IF(Valores!$C$63*B280&gt;Valores!$F$63,Valores!$F$63,Valores!$C$63*B280))</f>
        <v>0</v>
      </c>
      <c r="AO280" s="125">
        <f t="shared" si="48"/>
        <v>62999.999999999905</v>
      </c>
      <c r="AP280" s="125">
        <f>AI280*Valores!$C$72</f>
        <v>-61036.01185000001</v>
      </c>
      <c r="AQ280" s="125">
        <f>IF(AI280&lt;Valores!$E$73,-0.02,IF(AI280&lt;Valores!$F$73,-0.03,-0.04))*AI280</f>
        <v>-11097.456700000002</v>
      </c>
      <c r="AR280" s="125">
        <f>AI280*Valores!$C$75</f>
        <v>-30518.005925000005</v>
      </c>
      <c r="AS280" s="125">
        <f>Valores!$C$102</f>
        <v>-1270.1600000000001</v>
      </c>
      <c r="AT280" s="125">
        <f>IF($F$5=0,Valores!$C$103,(Valores!$C$103+$F$5*(Valores!$C$103)))</f>
        <v>-3700</v>
      </c>
      <c r="AU280" s="125">
        <f t="shared" si="51"/>
        <v>510251.20052499999</v>
      </c>
      <c r="AV280" s="125">
        <f t="shared" si="45"/>
        <v>-61036.01185000001</v>
      </c>
      <c r="AW280" s="125">
        <f t="shared" si="52"/>
        <v>-11097.456700000002</v>
      </c>
      <c r="AX280" s="125">
        <f>AI280*Valores!$C$76</f>
        <v>-14981.566545000001</v>
      </c>
      <c r="AY280" s="125">
        <f>AI280*Valores!$C$77</f>
        <v>-1664.6185050000004</v>
      </c>
      <c r="AZ280" s="125">
        <f t="shared" si="49"/>
        <v>529093.18139999988</v>
      </c>
      <c r="BA280" s="125">
        <f>AI280*Valores!$C$79</f>
        <v>88779.65360000002</v>
      </c>
      <c r="BB280" s="125">
        <f>AI280*Valores!$C$80</f>
        <v>38841.098450000012</v>
      </c>
      <c r="BC280" s="125">
        <f>AI280*Valores!$C$81</f>
        <v>5548.7283500000012</v>
      </c>
      <c r="BD280" s="125">
        <f>AI280*Valores!$C$83</f>
        <v>19420.549225000006</v>
      </c>
      <c r="BE280" s="125">
        <f>AI280*Valores!$C$85</f>
        <v>29963.133090000003</v>
      </c>
      <c r="BF280" s="125">
        <f>AI280*Valores!$C$84</f>
        <v>3329.2370100000007</v>
      </c>
      <c r="BG280" s="126"/>
      <c r="BH280" s="126">
        <f t="shared" si="43"/>
        <v>27</v>
      </c>
      <c r="BI280" s="123" t="s">
        <v>8</v>
      </c>
    </row>
    <row r="281" spans="1:61" s="110" customFormat="1" ht="11.25" customHeight="1" x14ac:dyDescent="0.15">
      <c r="A281" s="123" t="s">
        <v>466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4"/>
        <v>2212</v>
      </c>
      <c r="F281" s="125">
        <f>ROUND(E281*Valores!$C$2,2)</f>
        <v>171643.9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58406.6</v>
      </c>
      <c r="N281" s="125">
        <f t="shared" si="46"/>
        <v>0</v>
      </c>
      <c r="O281" s="125">
        <f>Valores!$C$7*B281</f>
        <v>73678.36</v>
      </c>
      <c r="P281" s="125">
        <f>ROUND(IF(B281&lt;15,(Valores!$E$5*B281),Valores!$D$5),2)</f>
        <v>39667.43</v>
      </c>
      <c r="Q281" s="125">
        <v>0</v>
      </c>
      <c r="R281" s="125">
        <f>IF($F$4="NO",IF(Valores!$C$50*B281&gt;Valores!$F$47,Valores!$F$47,Valores!$C$50*B281),IF(Valores!$C$50*B281&gt;Valores!$F$47,Valores!$F$47,Valores!$C$50*B281)/2)</f>
        <v>38809.68</v>
      </c>
      <c r="S281" s="125">
        <f>Valores!$C$18*B281</f>
        <v>23172.799999999999</v>
      </c>
      <c r="T281" s="125">
        <f t="shared" si="53"/>
        <v>23172.799999999999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IF(Valores!$C$99*B281&gt;Valores!$C$98,Valores!$C$98,Valores!$C$99*B281)</f>
        <v>70742</v>
      </c>
      <c r="AA281" s="125">
        <f>IF((Valores!$C$28)*B281&gt;Valores!$F$28,Valores!$F$28,(Valores!$C$28)*B281)</f>
        <v>1820.56</v>
      </c>
      <c r="AB281" s="214">
        <v>0</v>
      </c>
      <c r="AC281" s="125">
        <f t="shared" si="47"/>
        <v>0</v>
      </c>
      <c r="AD281" s="125">
        <f>IF(Valores!$C$29*B281&gt;Valores!$F$29,Valores!$F$29,Valores!$C$29*B281)</f>
        <v>1515.92</v>
      </c>
      <c r="AE281" s="192">
        <v>0</v>
      </c>
      <c r="AF281" s="125">
        <f>ROUND(AE281*Valores!$C$2,2)</f>
        <v>0</v>
      </c>
      <c r="AG281" s="125">
        <f>IF($F$4="NO",IF(Valores!$D$64*'Escala Docente'!B281&gt;Valores!$F$64,Valores!$F$64,Valores!$D$64*'Escala Docente'!B281),IF(Valores!$D$64*'Escala Docente'!B281&gt;Valores!$F$64,Valores!$F$64,Valores!$D$64*'Escala Docente'!B281)/2)+0.06</f>
        <v>34621.78</v>
      </c>
      <c r="AH281" s="125">
        <f>SUM(F281,H281,J281,L281,M281,N281,O281,P281,Q281,R281,T281,U281,V281,X281,Y281,Z281,AA281,AC281,AD281,AF281,AG281)*Valores!$C$104</f>
        <v>51407.902999999991</v>
      </c>
      <c r="AI281" s="125">
        <f t="shared" si="50"/>
        <v>565486.93299999996</v>
      </c>
      <c r="AJ281" s="125">
        <f>IF(Valores!$C$33*B281&gt;Valores!$F$33,Valores!$F$33,Valores!$C$33*B281)</f>
        <v>65333.333333333234</v>
      </c>
      <c r="AK281" s="125">
        <v>0</v>
      </c>
      <c r="AL281" s="125">
        <f>IF(Valores!$C$92*B281&gt;Valores!$C$91,Valores!$C$91,Valores!$C$92*B281)</f>
        <v>0</v>
      </c>
      <c r="AM281" s="125">
        <f>IF(Valores!C$40*B281&gt;Valores!F$39,Valores!F$39,Valores!C$40*B281)</f>
        <v>0</v>
      </c>
      <c r="AN281" s="125">
        <f>IF($F$3="NO",0,IF(Valores!$C$63*B281&gt;Valores!$F$63,Valores!$F$63,Valores!$C$63*B281))</f>
        <v>0</v>
      </c>
      <c r="AO281" s="125">
        <f t="shared" si="48"/>
        <v>65333.333333333234</v>
      </c>
      <c r="AP281" s="125">
        <f>AI281*Valores!$C$72</f>
        <v>-62203.562629999993</v>
      </c>
      <c r="AQ281" s="125">
        <f>IF(AI281&lt;Valores!$E$73,-0.02,IF(AI281&lt;Valores!$F$73,-0.03,-0.04))*AI281</f>
        <v>-11309.738659999999</v>
      </c>
      <c r="AR281" s="125">
        <f>AI281*Valores!$C$75</f>
        <v>-31101.781314999997</v>
      </c>
      <c r="AS281" s="125">
        <f>Valores!$C$102</f>
        <v>-1270.1600000000001</v>
      </c>
      <c r="AT281" s="125">
        <f>IF($F$5=0,Valores!$C$103,(Valores!$C$103+$F$5*(Valores!$C$103)))</f>
        <v>-3700</v>
      </c>
      <c r="AU281" s="125">
        <f t="shared" si="51"/>
        <v>521235.02372833318</v>
      </c>
      <c r="AV281" s="125">
        <f t="shared" si="45"/>
        <v>-62203.562629999993</v>
      </c>
      <c r="AW281" s="125">
        <f t="shared" si="52"/>
        <v>-11309.738659999999</v>
      </c>
      <c r="AX281" s="125">
        <f>AI281*Valores!$C$76</f>
        <v>-15268.147190999998</v>
      </c>
      <c r="AY281" s="125">
        <f>AI281*Valores!$C$77</f>
        <v>-1696.460799</v>
      </c>
      <c r="AZ281" s="125">
        <f t="shared" si="49"/>
        <v>540342.35705333319</v>
      </c>
      <c r="BA281" s="125">
        <f>AI281*Valores!$C$79</f>
        <v>90477.909279999993</v>
      </c>
      <c r="BB281" s="125">
        <f>AI281*Valores!$C$80</f>
        <v>39584.085310000002</v>
      </c>
      <c r="BC281" s="125">
        <f>AI281*Valores!$C$81</f>
        <v>5654.8693299999995</v>
      </c>
      <c r="BD281" s="125">
        <f>AI281*Valores!$C$83</f>
        <v>19792.042655000001</v>
      </c>
      <c r="BE281" s="125">
        <f>AI281*Valores!$C$85</f>
        <v>30536.294381999996</v>
      </c>
      <c r="BF281" s="125">
        <f>AI281*Valores!$C$84</f>
        <v>3392.9215979999999</v>
      </c>
      <c r="BG281" s="126"/>
      <c r="BH281" s="126">
        <f t="shared" si="43"/>
        <v>28</v>
      </c>
      <c r="BI281" s="123" t="s">
        <v>4</v>
      </c>
    </row>
    <row r="282" spans="1:61" s="110" customFormat="1" ht="11.25" customHeight="1" x14ac:dyDescent="0.15">
      <c r="A282" s="123" t="s">
        <v>466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4"/>
        <v>2212</v>
      </c>
      <c r="F282" s="125">
        <f>ROUND(E282*Valores!$C$2,2)</f>
        <v>171643.9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58406.6</v>
      </c>
      <c r="N282" s="125">
        <f t="shared" si="46"/>
        <v>0</v>
      </c>
      <c r="O282" s="125">
        <f>Valores!$C$7*B282</f>
        <v>73678.36</v>
      </c>
      <c r="P282" s="125">
        <f>ROUND(IF(B282&lt;15,(Valores!$E$5*B282),Valores!$D$5),2)</f>
        <v>39667.43</v>
      </c>
      <c r="Q282" s="125">
        <v>0</v>
      </c>
      <c r="R282" s="125">
        <f>IF($F$4="NO",IF(Valores!$C$50*B282&gt;Valores!$F$47,Valores!$F$47,Valores!$C$50*B282),IF(Valores!$C$50*B282&gt;Valores!$F$47,Valores!$F$47,Valores!$C$50*B282)/2)</f>
        <v>38809.68</v>
      </c>
      <c r="S282" s="125">
        <f>Valores!$C$18*B282</f>
        <v>23172.799999999999</v>
      </c>
      <c r="T282" s="125">
        <f t="shared" si="53"/>
        <v>23172.799999999999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IF(Valores!$C$99*B282&gt;Valores!$C$98,Valores!$C$98,Valores!$C$99*B282)</f>
        <v>70742</v>
      </c>
      <c r="AA282" s="125">
        <f>IF((Valores!$C$28)*B282&gt;Valores!$F$28,Valores!$F$28,(Valores!$C$28)*B282)</f>
        <v>1820.56</v>
      </c>
      <c r="AB282" s="214">
        <v>0</v>
      </c>
      <c r="AC282" s="125">
        <f t="shared" si="47"/>
        <v>0</v>
      </c>
      <c r="AD282" s="125">
        <f>IF(Valores!$C$29*B282&gt;Valores!$F$29,Valores!$F$29,Valores!$C$29*B282)</f>
        <v>1515.92</v>
      </c>
      <c r="AE282" s="192">
        <v>94</v>
      </c>
      <c r="AF282" s="125">
        <f>ROUND(AE282*Valores!$C$2,2)</f>
        <v>7294.09</v>
      </c>
      <c r="AG282" s="125">
        <f>IF($F$4="NO",IF(Valores!$D$64*'Escala Docente'!B282&gt;Valores!$F$64,Valores!$F$64,Valores!$D$64*'Escala Docente'!B282),IF(Valores!$D$64*'Escala Docente'!B282&gt;Valores!$F$64,Valores!$F$64,Valores!$D$64*'Escala Docente'!B282)/2)+0.06</f>
        <v>34621.78</v>
      </c>
      <c r="AH282" s="125">
        <f>SUM(F282,H282,J282,L282,M282,N282,O282,P282,Q282,R282,T282,U282,V282,X282,Y282,Z282,AA282,AC282,AD282,AF282,AG282)*Valores!$C$104</f>
        <v>52137.312000000005</v>
      </c>
      <c r="AI282" s="125">
        <f t="shared" si="50"/>
        <v>573510.43200000003</v>
      </c>
      <c r="AJ282" s="125">
        <f>IF(Valores!$C$33*B282&gt;Valores!$F$33,Valores!$F$33,Valores!$C$33*B282)</f>
        <v>65333.333333333234</v>
      </c>
      <c r="AK282" s="125">
        <v>0</v>
      </c>
      <c r="AL282" s="125">
        <f>IF(Valores!$C$92*B282&gt;Valores!$C$91,Valores!$C$91,Valores!$C$92*B282)</f>
        <v>0</v>
      </c>
      <c r="AM282" s="125">
        <f>IF(Valores!C$40*B282&gt;Valores!F$39,Valores!F$39,Valores!C$40*B282)</f>
        <v>0</v>
      </c>
      <c r="AN282" s="125">
        <f>IF($F$3="NO",0,IF(Valores!$C$63*B282&gt;Valores!$F$63,Valores!$F$63,Valores!$C$63*B282))</f>
        <v>0</v>
      </c>
      <c r="AO282" s="125">
        <f t="shared" si="48"/>
        <v>65333.333333333234</v>
      </c>
      <c r="AP282" s="125">
        <f>AI282*Valores!$C$72</f>
        <v>-63086.147520000006</v>
      </c>
      <c r="AQ282" s="125">
        <f>IF(AI282&lt;Valores!$E$73,-0.02,IF(AI282&lt;Valores!$F$73,-0.03,-0.04))*AI282</f>
        <v>-11470.208640000001</v>
      </c>
      <c r="AR282" s="125">
        <f>AI282*Valores!$C$75</f>
        <v>-31543.073760000003</v>
      </c>
      <c r="AS282" s="125">
        <f>Valores!$C$102</f>
        <v>-1270.1600000000001</v>
      </c>
      <c r="AT282" s="125">
        <f>IF($F$5=0,Valores!$C$103,(Valores!$C$103+$F$5*(Valores!$C$103)))</f>
        <v>-3700</v>
      </c>
      <c r="AU282" s="125">
        <f t="shared" si="51"/>
        <v>527774.17541333323</v>
      </c>
      <c r="AV282" s="125">
        <f t="shared" si="45"/>
        <v>-63086.147520000006</v>
      </c>
      <c r="AW282" s="125">
        <f t="shared" si="52"/>
        <v>-11470.208640000001</v>
      </c>
      <c r="AX282" s="125">
        <f>AI282*Valores!$C$76</f>
        <v>-15484.781664</v>
      </c>
      <c r="AY282" s="125">
        <f>AI282*Valores!$C$77</f>
        <v>-1720.5312960000001</v>
      </c>
      <c r="AZ282" s="125">
        <f t="shared" si="49"/>
        <v>547082.09621333331</v>
      </c>
      <c r="BA282" s="125">
        <f>AI282*Valores!$C$79</f>
        <v>91761.669120000006</v>
      </c>
      <c r="BB282" s="125">
        <f>AI282*Valores!$C$80</f>
        <v>40145.730240000004</v>
      </c>
      <c r="BC282" s="125">
        <f>AI282*Valores!$C$81</f>
        <v>5735.1043200000004</v>
      </c>
      <c r="BD282" s="125">
        <f>AI282*Valores!$C$83</f>
        <v>20072.865120000002</v>
      </c>
      <c r="BE282" s="125">
        <f>AI282*Valores!$C$85</f>
        <v>30969.563328</v>
      </c>
      <c r="BF282" s="125">
        <f>AI282*Valores!$C$84</f>
        <v>3441.0625920000002</v>
      </c>
      <c r="BG282" s="126"/>
      <c r="BH282" s="126">
        <f t="shared" si="43"/>
        <v>28</v>
      </c>
      <c r="BI282" s="123" t="s">
        <v>4</v>
      </c>
    </row>
    <row r="283" spans="1:61" s="110" customFormat="1" ht="11.25" customHeight="1" x14ac:dyDescent="0.15">
      <c r="A283" s="123" t="s">
        <v>466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4"/>
        <v>2291</v>
      </c>
      <c r="F283" s="125">
        <f>ROUND(E283*Valores!$C$2,2)</f>
        <v>177774.04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60492.55</v>
      </c>
      <c r="N283" s="125">
        <f t="shared" si="46"/>
        <v>0</v>
      </c>
      <c r="O283" s="125">
        <f>Valores!$C$7*B283</f>
        <v>76309.73</v>
      </c>
      <c r="P283" s="125">
        <f>ROUND(IF(B283&lt;15,(Valores!$E$5*B283),Valores!$D$5),2)</f>
        <v>39667.43</v>
      </c>
      <c r="Q283" s="125">
        <v>0</v>
      </c>
      <c r="R283" s="125">
        <f>IF($F$4="NO",IF(Valores!$C$50*B283&gt;Valores!$F$47,Valores!$F$47,Valores!$C$50*B283),IF(Valores!$C$50*B283&gt;Valores!$F$47,Valores!$F$47,Valores!$C$50*B283)/2)</f>
        <v>40195.74</v>
      </c>
      <c r="S283" s="125">
        <f>Valores!$C$18*B283</f>
        <v>24000.400000000001</v>
      </c>
      <c r="T283" s="125">
        <f t="shared" si="53"/>
        <v>24000.400000000001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IF(Valores!$C$99*B283&gt;Valores!$C$98,Valores!$C$98,Valores!$C$99*B283)</f>
        <v>73268.5</v>
      </c>
      <c r="AA283" s="125">
        <f>IF((Valores!$C$28)*B283&gt;Valores!$F$28,Valores!$F$28,(Valores!$C$28)*B283)</f>
        <v>1885.58</v>
      </c>
      <c r="AB283" s="214">
        <v>0</v>
      </c>
      <c r="AC283" s="125">
        <f t="shared" si="47"/>
        <v>0</v>
      </c>
      <c r="AD283" s="125">
        <f>IF(Valores!$C$29*B283&gt;Valores!$F$29,Valores!$F$29,Valores!$C$29*B283)</f>
        <v>1570.06</v>
      </c>
      <c r="AE283" s="192">
        <v>0</v>
      </c>
      <c r="AF283" s="125">
        <f>ROUND(AE283*Valores!$C$2,2)</f>
        <v>0</v>
      </c>
      <c r="AG283" s="125">
        <f>IF($F$4="NO",IF(Valores!$D$64*'Escala Docente'!B283&gt;Valores!$F$64,Valores!$F$64,Valores!$D$64*'Escala Docente'!B283),IF(Valores!$D$64*'Escala Docente'!B283&gt;Valores!$F$64,Valores!$F$64,Valores!$D$64*'Escala Docente'!B283)/2)+0.06</f>
        <v>35858.269999999997</v>
      </c>
      <c r="AH283" s="125">
        <f>SUM(F283,H283,J283,L283,M283,N283,O283,P283,Q283,R283,T283,U283,V283,X283,Y283,Z283,AA283,AC283,AD283,AF283,AG283)*Valores!$C$104</f>
        <v>53102.23000000001</v>
      </c>
      <c r="AI283" s="125">
        <f t="shared" si="50"/>
        <v>584124.53</v>
      </c>
      <c r="AJ283" s="125">
        <f>IF(Valores!$C$33*B283&gt;Valores!$F$33,Valores!$F$33,Valores!$C$33*B283)</f>
        <v>67666.66666666657</v>
      </c>
      <c r="AK283" s="125">
        <v>0</v>
      </c>
      <c r="AL283" s="125">
        <f>IF(Valores!$C$92*B283&gt;Valores!$C$91,Valores!$C$91,Valores!$C$92*B283)</f>
        <v>0</v>
      </c>
      <c r="AM283" s="125">
        <f>IF(Valores!C$40*B283&gt;Valores!F$39,Valores!F$39,Valores!C$40*B283)</f>
        <v>0</v>
      </c>
      <c r="AN283" s="125">
        <f>IF($F$3="NO",0,IF(Valores!$C$63*B283&gt;Valores!$F$63,Valores!$F$63,Valores!$C$63*B283))</f>
        <v>0</v>
      </c>
      <c r="AO283" s="125">
        <f t="shared" si="48"/>
        <v>67666.66666666657</v>
      </c>
      <c r="AP283" s="125">
        <f>AI283*Valores!$C$72</f>
        <v>-64253.698300000004</v>
      </c>
      <c r="AQ283" s="125">
        <f>IF(AI283&lt;Valores!$E$73,-0.02,IF(AI283&lt;Valores!$F$73,-0.03,-0.04))*AI283</f>
        <v>-11682.490600000001</v>
      </c>
      <c r="AR283" s="125">
        <f>AI283*Valores!$C$75</f>
        <v>-32126.849150000002</v>
      </c>
      <c r="AS283" s="125">
        <f>Valores!$C$102</f>
        <v>-1270.1600000000001</v>
      </c>
      <c r="AT283" s="125">
        <f>IF($F$5=0,Valores!$C$103,(Valores!$C$103+$F$5*(Valores!$C$103)))</f>
        <v>-3700</v>
      </c>
      <c r="AU283" s="125">
        <f t="shared" si="51"/>
        <v>538757.99861666653</v>
      </c>
      <c r="AV283" s="125">
        <f t="shared" si="45"/>
        <v>-64253.698300000004</v>
      </c>
      <c r="AW283" s="125">
        <f t="shared" si="52"/>
        <v>-11682.490600000001</v>
      </c>
      <c r="AX283" s="125">
        <f>AI283*Valores!$C$76</f>
        <v>-15771.36231</v>
      </c>
      <c r="AY283" s="125">
        <f>AI283*Valores!$C$77</f>
        <v>-1752.3735900000001</v>
      </c>
      <c r="AZ283" s="125">
        <f t="shared" si="49"/>
        <v>558331.2718666665</v>
      </c>
      <c r="BA283" s="125">
        <f>AI283*Valores!$C$79</f>
        <v>93459.924800000008</v>
      </c>
      <c r="BB283" s="125">
        <f>AI283*Valores!$C$80</f>
        <v>40888.717100000009</v>
      </c>
      <c r="BC283" s="125">
        <f>AI283*Valores!$C$81</f>
        <v>5841.2453000000005</v>
      </c>
      <c r="BD283" s="125">
        <f>AI283*Valores!$C$83</f>
        <v>20444.358550000004</v>
      </c>
      <c r="BE283" s="125">
        <f>AI283*Valores!$C$85</f>
        <v>31542.724620000001</v>
      </c>
      <c r="BF283" s="125">
        <f>AI283*Valores!$C$84</f>
        <v>3504.7471800000003</v>
      </c>
      <c r="BG283" s="126"/>
      <c r="BH283" s="126">
        <f t="shared" si="43"/>
        <v>29</v>
      </c>
      <c r="BI283" s="123" t="s">
        <v>8</v>
      </c>
    </row>
    <row r="284" spans="1:61" s="110" customFormat="1" ht="11.25" customHeight="1" x14ac:dyDescent="0.15">
      <c r="A284" s="123" t="s">
        <v>466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4"/>
        <v>2291</v>
      </c>
      <c r="F284" s="125">
        <f>ROUND(E284*Valores!$C$2,2)</f>
        <v>177774.04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60492.55</v>
      </c>
      <c r="N284" s="125">
        <f t="shared" si="46"/>
        <v>0</v>
      </c>
      <c r="O284" s="125">
        <f>Valores!$C$7*B284</f>
        <v>76309.73</v>
      </c>
      <c r="P284" s="125">
        <f>ROUND(IF(B284&lt;15,(Valores!$E$5*B284),Valores!$D$5),2)</f>
        <v>39667.43</v>
      </c>
      <c r="Q284" s="125">
        <v>0</v>
      </c>
      <c r="R284" s="125">
        <f>IF($F$4="NO",IF(Valores!$C$50*B284&gt;Valores!$F$47,Valores!$F$47,Valores!$C$50*B284),IF(Valores!$C$50*B284&gt;Valores!$F$47,Valores!$F$47,Valores!$C$50*B284)/2)</f>
        <v>40195.74</v>
      </c>
      <c r="S284" s="125">
        <f>Valores!$C$18*B284</f>
        <v>24000.400000000001</v>
      </c>
      <c r="T284" s="125">
        <f t="shared" si="53"/>
        <v>24000.400000000001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IF(Valores!$C$99*B284&gt;Valores!$C$98,Valores!$C$98,Valores!$C$99*B284)</f>
        <v>73268.5</v>
      </c>
      <c r="AA284" s="125">
        <f>IF((Valores!$C$28)*B284&gt;Valores!$F$28,Valores!$F$28,(Valores!$C$28)*B284)</f>
        <v>1885.58</v>
      </c>
      <c r="AB284" s="214">
        <v>0</v>
      </c>
      <c r="AC284" s="125">
        <f t="shared" si="47"/>
        <v>0</v>
      </c>
      <c r="AD284" s="125">
        <f>IF(Valores!$C$29*B284&gt;Valores!$F$29,Valores!$F$29,Valores!$C$29*B284)</f>
        <v>1570.06</v>
      </c>
      <c r="AE284" s="192">
        <v>94</v>
      </c>
      <c r="AF284" s="125">
        <f>ROUND(AE284*Valores!$C$2,2)</f>
        <v>7294.09</v>
      </c>
      <c r="AG284" s="125">
        <f>IF($F$4="NO",IF(Valores!$D$64*'Escala Docente'!B284&gt;Valores!$F$64,Valores!$F$64,Valores!$D$64*'Escala Docente'!B284),IF(Valores!$D$64*'Escala Docente'!B284&gt;Valores!$F$64,Valores!$F$64,Valores!$D$64*'Escala Docente'!B284)/2)+0.06</f>
        <v>35858.269999999997</v>
      </c>
      <c r="AH284" s="125">
        <f>SUM(F284,H284,J284,L284,M284,N284,O284,P284,Q284,R284,T284,U284,V284,X284,Y284,Z284,AA284,AC284,AD284,AF284,AG284)*Valores!$C$104</f>
        <v>53831.639000000003</v>
      </c>
      <c r="AI284" s="125">
        <f t="shared" si="50"/>
        <v>592148.02899999998</v>
      </c>
      <c r="AJ284" s="125">
        <f>IF(Valores!$C$33*B284&gt;Valores!$F$33,Valores!$F$33,Valores!$C$33*B284)</f>
        <v>67666.66666666657</v>
      </c>
      <c r="AK284" s="125">
        <v>0</v>
      </c>
      <c r="AL284" s="125">
        <f>IF(Valores!$C$92*B284&gt;Valores!$C$91,Valores!$C$91,Valores!$C$92*B284)</f>
        <v>0</v>
      </c>
      <c r="AM284" s="125">
        <f>IF(Valores!C$40*B284&gt;Valores!F$39,Valores!F$39,Valores!C$40*B284)</f>
        <v>0</v>
      </c>
      <c r="AN284" s="125">
        <f>IF($F$3="NO",0,IF(Valores!$C$63*B284&gt;Valores!$F$63,Valores!$F$63,Valores!$C$63*B284))</f>
        <v>0</v>
      </c>
      <c r="AO284" s="125">
        <f t="shared" si="48"/>
        <v>67666.66666666657</v>
      </c>
      <c r="AP284" s="125">
        <f>AI284*Valores!$C$72</f>
        <v>-65136.283189999995</v>
      </c>
      <c r="AQ284" s="125">
        <f>IF(AI284&lt;Valores!$E$73,-0.02,IF(AI284&lt;Valores!$F$73,-0.03,-0.04))*AI284</f>
        <v>-11842.960579999999</v>
      </c>
      <c r="AR284" s="125">
        <f>AI284*Valores!$C$75</f>
        <v>-32568.141594999997</v>
      </c>
      <c r="AS284" s="125">
        <f>Valores!$C$102</f>
        <v>-1270.1600000000001</v>
      </c>
      <c r="AT284" s="125">
        <f>IF($F$5=0,Valores!$C$103,(Valores!$C$103+$F$5*(Valores!$C$103)))</f>
        <v>-3700</v>
      </c>
      <c r="AU284" s="125">
        <f t="shared" si="51"/>
        <v>545297.15030166658</v>
      </c>
      <c r="AV284" s="125">
        <f t="shared" si="45"/>
        <v>-65136.283189999995</v>
      </c>
      <c r="AW284" s="125">
        <f t="shared" si="52"/>
        <v>-11842.960579999999</v>
      </c>
      <c r="AX284" s="125">
        <f>AI284*Valores!$C$76</f>
        <v>-15987.996782999999</v>
      </c>
      <c r="AY284" s="125">
        <f>AI284*Valores!$C$77</f>
        <v>-1776.4440870000001</v>
      </c>
      <c r="AZ284" s="125">
        <f t="shared" si="49"/>
        <v>565071.01102666662</v>
      </c>
      <c r="BA284" s="125">
        <f>AI284*Valores!$C$79</f>
        <v>94743.684639999992</v>
      </c>
      <c r="BB284" s="125">
        <f>AI284*Valores!$C$80</f>
        <v>41450.362030000004</v>
      </c>
      <c r="BC284" s="125">
        <f>AI284*Valores!$C$81</f>
        <v>5921.4802899999995</v>
      </c>
      <c r="BD284" s="125">
        <f>AI284*Valores!$C$83</f>
        <v>20725.181015000002</v>
      </c>
      <c r="BE284" s="125">
        <f>AI284*Valores!$C$85</f>
        <v>31975.993565999997</v>
      </c>
      <c r="BF284" s="125">
        <f>AI284*Valores!$C$84</f>
        <v>3552.8881740000002</v>
      </c>
      <c r="BG284" s="126"/>
      <c r="BH284" s="126">
        <f t="shared" si="43"/>
        <v>29</v>
      </c>
      <c r="BI284" s="123" t="s">
        <v>8</v>
      </c>
    </row>
    <row r="285" spans="1:61" s="110" customFormat="1" ht="11.25" customHeight="1" x14ac:dyDescent="0.15">
      <c r="A285" s="123" t="s">
        <v>466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4"/>
        <v>2370</v>
      </c>
      <c r="F285" s="125">
        <f>ROUND(E285*Valores!$C$2,2)</f>
        <v>183904.18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62578.5</v>
      </c>
      <c r="N285" s="125">
        <f t="shared" si="46"/>
        <v>0</v>
      </c>
      <c r="O285" s="125">
        <f>Valores!$C$7*B285</f>
        <v>78941.099999999991</v>
      </c>
      <c r="P285" s="125">
        <f>ROUND(IF(B285&lt;15,(Valores!$E$5*B285),Valores!$D$5),2)</f>
        <v>39667.43</v>
      </c>
      <c r="Q285" s="125">
        <v>0</v>
      </c>
      <c r="R285" s="125">
        <f>IF($F$4="NO",IF(Valores!$C$50*B285&gt;Valores!$F$47,Valores!$F$47,Valores!$C$50*B285),IF(Valores!$C$50*B285&gt;Valores!$F$47,Valores!$F$47,Valores!$C$50*B285)/2)</f>
        <v>41581.799999999996</v>
      </c>
      <c r="S285" s="125">
        <f>Valores!$C$18*B285</f>
        <v>24828</v>
      </c>
      <c r="T285" s="125">
        <f t="shared" si="53"/>
        <v>24828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IF(Valores!$C$99*B285&gt;Valores!$C$98,Valores!$C$98,Valores!$C$99*B285)</f>
        <v>75795</v>
      </c>
      <c r="AA285" s="125">
        <f>IF((Valores!$C$28)*B285&gt;Valores!$F$28,Valores!$F$28,(Valores!$C$28)*B285)</f>
        <v>1950.6</v>
      </c>
      <c r="AB285" s="214">
        <v>0</v>
      </c>
      <c r="AC285" s="125">
        <f t="shared" si="47"/>
        <v>0</v>
      </c>
      <c r="AD285" s="125">
        <f>IF(Valores!$C$29*B285&gt;Valores!$F$29,Valores!$F$29,Valores!$C$29*B285)</f>
        <v>1622.32</v>
      </c>
      <c r="AE285" s="192">
        <v>0</v>
      </c>
      <c r="AF285" s="125">
        <f>ROUND(AE285*Valores!$C$2,2)</f>
        <v>0</v>
      </c>
      <c r="AG285" s="125">
        <f>IF($F$4="NO",IF(Valores!$D$64*'Escala Docente'!B285&gt;Valores!$F$64,Valores!$F$64,Valores!$D$64*'Escala Docente'!B285),IF(Valores!$D$64*'Escala Docente'!B285&gt;Valores!$F$64,Valores!$F$64,Valores!$D$64*'Escala Docente'!B285)/2)+0.06</f>
        <v>37094.68</v>
      </c>
      <c r="AH285" s="125">
        <f>SUM(F285,H285,J285,L285,M285,N285,O285,P285,Q285,R285,T285,U285,V285,X285,Y285,Z285,AA285,AC285,AD285,AF285,AG285)*Valores!$C$104</f>
        <v>54796.361000000004</v>
      </c>
      <c r="AI285" s="125">
        <f t="shared" si="50"/>
        <v>602759.97100000002</v>
      </c>
      <c r="AJ285" s="125">
        <f>IF(Valores!$C$33*B285&gt;Valores!$F$33,Valores!$F$33,Valores!$C$33*B285)</f>
        <v>69999.999999999898</v>
      </c>
      <c r="AK285" s="125">
        <v>0</v>
      </c>
      <c r="AL285" s="125">
        <f>IF(Valores!$C$92*B285&gt;Valores!$C$91,Valores!$C$91,Valores!$C$92*B285)</f>
        <v>0</v>
      </c>
      <c r="AM285" s="125">
        <f>IF(Valores!C$40*B285&gt;Valores!F$39,Valores!F$39,Valores!C$40*B285)</f>
        <v>0</v>
      </c>
      <c r="AN285" s="125">
        <f>IF($F$3="NO",0,IF(Valores!$C$63*B285&gt;Valores!$F$63,Valores!$F$63,Valores!$C$63*B285))</f>
        <v>0</v>
      </c>
      <c r="AO285" s="125">
        <f t="shared" si="48"/>
        <v>69999.999999999898</v>
      </c>
      <c r="AP285" s="125">
        <f>AI285*Valores!$C$72</f>
        <v>-66303.596810000003</v>
      </c>
      <c r="AQ285" s="125">
        <f>IF(AI285&lt;Valores!$E$73,-0.02,IF(AI285&lt;Valores!$F$73,-0.03,-0.04))*AI285</f>
        <v>-12055.199420000001</v>
      </c>
      <c r="AR285" s="125">
        <f>AI285*Valores!$C$75</f>
        <v>-33151.798405000001</v>
      </c>
      <c r="AS285" s="125">
        <f>Valores!$C$102</f>
        <v>-1270.1600000000001</v>
      </c>
      <c r="AT285" s="125">
        <f>IF($F$5=0,Valores!$C$103,(Valores!$C$103+$F$5*(Valores!$C$103)))</f>
        <v>-3700</v>
      </c>
      <c r="AU285" s="125">
        <f t="shared" si="51"/>
        <v>556279.21636499988</v>
      </c>
      <c r="AV285" s="125">
        <f t="shared" si="45"/>
        <v>-66303.596810000003</v>
      </c>
      <c r="AW285" s="125">
        <f t="shared" si="52"/>
        <v>-12055.199420000001</v>
      </c>
      <c r="AX285" s="125">
        <f>AI285*Valores!$C$76</f>
        <v>-16274.519217000001</v>
      </c>
      <c r="AY285" s="125">
        <f>AI285*Valores!$C$77</f>
        <v>-1808.2799130000001</v>
      </c>
      <c r="AZ285" s="125">
        <f t="shared" si="49"/>
        <v>576318.37563999987</v>
      </c>
      <c r="BA285" s="125">
        <f>AI285*Valores!$C$79</f>
        <v>96441.595360000007</v>
      </c>
      <c r="BB285" s="125">
        <f>AI285*Valores!$C$80</f>
        <v>42193.197970000008</v>
      </c>
      <c r="BC285" s="125">
        <f>AI285*Valores!$C$81</f>
        <v>6027.5997100000004</v>
      </c>
      <c r="BD285" s="125">
        <f>AI285*Valores!$C$83</f>
        <v>21096.598985000004</v>
      </c>
      <c r="BE285" s="125">
        <f>AI285*Valores!$C$85</f>
        <v>32549.038434000002</v>
      </c>
      <c r="BF285" s="125">
        <f>AI285*Valores!$C$84</f>
        <v>3616.5598260000002</v>
      </c>
      <c r="BG285" s="126"/>
      <c r="BH285" s="126">
        <f t="shared" si="43"/>
        <v>30</v>
      </c>
      <c r="BI285" s="123" t="s">
        <v>4</v>
      </c>
    </row>
    <row r="286" spans="1:61" s="110" customFormat="1" ht="11.25" customHeight="1" x14ac:dyDescent="0.15">
      <c r="A286" s="123" t="s">
        <v>466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4"/>
        <v>2370</v>
      </c>
      <c r="F286" s="125">
        <f>ROUND(E286*Valores!$C$2,2)</f>
        <v>183904.18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62578.5</v>
      </c>
      <c r="N286" s="125">
        <f t="shared" si="46"/>
        <v>0</v>
      </c>
      <c r="O286" s="125">
        <f>Valores!$C$7*B286</f>
        <v>78941.099999999991</v>
      </c>
      <c r="P286" s="125">
        <f>ROUND(IF(B286&lt;15,(Valores!$E$5*B286),Valores!$D$5),2)</f>
        <v>39667.43</v>
      </c>
      <c r="Q286" s="125">
        <v>0</v>
      </c>
      <c r="R286" s="125">
        <f>IF($F$4="NO",IF(Valores!$C$50*B286&gt;Valores!$F$47,Valores!$F$47,Valores!$C$50*B286),IF(Valores!$C$50*B286&gt;Valores!$F$47,Valores!$F$47,Valores!$C$50*B286)/2)</f>
        <v>41581.799999999996</v>
      </c>
      <c r="S286" s="125">
        <f>Valores!$C$18*B286</f>
        <v>24828</v>
      </c>
      <c r="T286" s="125">
        <f t="shared" si="53"/>
        <v>24828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IF(Valores!$C$99*B286&gt;Valores!$C$98,Valores!$C$98,Valores!$C$99*B286)</f>
        <v>75795</v>
      </c>
      <c r="AA286" s="125">
        <f>IF((Valores!$C$28)*B286&gt;Valores!$F$28,Valores!$F$28,(Valores!$C$28)*B286)</f>
        <v>1950.6</v>
      </c>
      <c r="AB286" s="214">
        <v>0</v>
      </c>
      <c r="AC286" s="125">
        <f t="shared" si="47"/>
        <v>0</v>
      </c>
      <c r="AD286" s="125">
        <f>IF(Valores!$C$29*B286&gt;Valores!$F$29,Valores!$F$29,Valores!$C$29*B286)</f>
        <v>1622.32</v>
      </c>
      <c r="AE286" s="192">
        <v>94</v>
      </c>
      <c r="AF286" s="125">
        <f>ROUND(AE286*Valores!$C$2,2)</f>
        <v>7294.09</v>
      </c>
      <c r="AG286" s="125">
        <f>IF($F$4="NO",IF(Valores!$D$64*'Escala Docente'!B286&gt;Valores!$F$64,Valores!$F$64,Valores!$D$64*'Escala Docente'!B286),IF(Valores!$D$64*'Escala Docente'!B286&gt;Valores!$F$64,Valores!$F$64,Valores!$D$64*'Escala Docente'!B286)/2)+0.06</f>
        <v>37094.68</v>
      </c>
      <c r="AH286" s="125">
        <f>SUM(F286,H286,J286,L286,M286,N286,O286,P286,Q286,R286,T286,U286,V286,X286,Y286,Z286,AA286,AC286,AD286,AF286,AG286)*Valores!$C$104</f>
        <v>55525.77</v>
      </c>
      <c r="AI286" s="125">
        <f t="shared" si="50"/>
        <v>610783.47</v>
      </c>
      <c r="AJ286" s="125">
        <f>IF(Valores!$C$33*B286&gt;Valores!$F$33,Valores!$F$33,Valores!$C$33*B286)</f>
        <v>69999.999999999898</v>
      </c>
      <c r="AK286" s="125">
        <v>0</v>
      </c>
      <c r="AL286" s="125">
        <f>IF(Valores!$C$92*B286&gt;Valores!$C$91,Valores!$C$91,Valores!$C$92*B286)</f>
        <v>0</v>
      </c>
      <c r="AM286" s="125">
        <f>IF(Valores!C$40*B286&gt;Valores!F$39,Valores!F$39,Valores!C$40*B286)</f>
        <v>0</v>
      </c>
      <c r="AN286" s="125">
        <f>IF($F$3="NO",0,IF(Valores!$C$63*B286&gt;Valores!$F$63,Valores!$F$63,Valores!$C$63*B286))</f>
        <v>0</v>
      </c>
      <c r="AO286" s="125">
        <f t="shared" si="48"/>
        <v>69999.999999999898</v>
      </c>
      <c r="AP286" s="125">
        <f>AI286*Valores!$C$72</f>
        <v>-67186.181700000001</v>
      </c>
      <c r="AQ286" s="125">
        <f>IF(AI286&lt;Valores!$E$73,-0.02,IF(AI286&lt;Valores!$F$73,-0.03,-0.04))*AI286</f>
        <v>-12215.669399999999</v>
      </c>
      <c r="AR286" s="125">
        <f>AI286*Valores!$C$75</f>
        <v>-33593.090850000001</v>
      </c>
      <c r="AS286" s="125">
        <f>Valores!$C$102</f>
        <v>-1270.1600000000001</v>
      </c>
      <c r="AT286" s="125">
        <f>IF($F$5=0,Valores!$C$103,(Valores!$C$103+$F$5*(Valores!$C$103)))</f>
        <v>-3700</v>
      </c>
      <c r="AU286" s="125">
        <f t="shared" si="51"/>
        <v>562818.36804999982</v>
      </c>
      <c r="AV286" s="125">
        <f t="shared" si="45"/>
        <v>-67186.181700000001</v>
      </c>
      <c r="AW286" s="125">
        <f t="shared" si="52"/>
        <v>-12215.669399999999</v>
      </c>
      <c r="AX286" s="125">
        <f>AI286*Valores!$C$76</f>
        <v>-16491.153689999999</v>
      </c>
      <c r="AY286" s="125">
        <f>AI286*Valores!$C$77</f>
        <v>-1832.35041</v>
      </c>
      <c r="AZ286" s="125">
        <f t="shared" si="49"/>
        <v>583058.11479999986</v>
      </c>
      <c r="BA286" s="125">
        <f>AI286*Valores!$C$79</f>
        <v>97725.355199999991</v>
      </c>
      <c r="BB286" s="125">
        <f>AI286*Valores!$C$80</f>
        <v>42754.842900000003</v>
      </c>
      <c r="BC286" s="125">
        <f>AI286*Valores!$C$81</f>
        <v>6107.8346999999994</v>
      </c>
      <c r="BD286" s="125">
        <f>AI286*Valores!$C$83</f>
        <v>21377.421450000002</v>
      </c>
      <c r="BE286" s="125">
        <f>AI286*Valores!$C$85</f>
        <v>32982.307379999998</v>
      </c>
      <c r="BF286" s="125">
        <f>AI286*Valores!$C$84</f>
        <v>3664.70082</v>
      </c>
      <c r="BG286" s="126"/>
      <c r="BH286" s="126">
        <f t="shared" si="43"/>
        <v>30</v>
      </c>
      <c r="BI286" s="123" t="s">
        <v>4</v>
      </c>
    </row>
    <row r="287" spans="1:61" s="110" customFormat="1" ht="11.25" customHeight="1" x14ac:dyDescent="0.15">
      <c r="A287" s="123" t="s">
        <v>466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4"/>
        <v>2449</v>
      </c>
      <c r="F287" s="125">
        <f>ROUND(E287*Valores!$C$2,2)</f>
        <v>190034.32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64664.45</v>
      </c>
      <c r="N287" s="125">
        <f t="shared" si="46"/>
        <v>0</v>
      </c>
      <c r="O287" s="125">
        <f>Valores!$C$7*B287</f>
        <v>81572.47</v>
      </c>
      <c r="P287" s="125">
        <f>ROUND(IF(B287&lt;15,(Valores!$E$5*B287),Valores!$D$5),2)</f>
        <v>39667.43</v>
      </c>
      <c r="Q287" s="125">
        <v>0</v>
      </c>
      <c r="R287" s="125">
        <f>IF($F$4="NO",IF(Valores!$C$50*B287&gt;Valores!$F$47,Valores!$F$47,Valores!$C$50*B287),IF(Valores!$C$50*B287&gt;Valores!$F$47,Valores!$F$47,Valores!$C$50*B287)/2)</f>
        <v>42967.86</v>
      </c>
      <c r="S287" s="125">
        <f>Valores!$C$18*B287</f>
        <v>25655.600000000002</v>
      </c>
      <c r="T287" s="125">
        <f t="shared" si="53"/>
        <v>25655.599999999999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IF(Valores!$C$99*B287&gt;Valores!$C$98,Valores!$C$98,Valores!$C$99*B287)</f>
        <v>78321.5</v>
      </c>
      <c r="AA287" s="125">
        <f>IF((Valores!$C$28)*B287&gt;Valores!$F$28,Valores!$F$28,(Valores!$C$28)*B287)</f>
        <v>2015.62</v>
      </c>
      <c r="AB287" s="214">
        <v>0</v>
      </c>
      <c r="AC287" s="125">
        <f t="shared" si="47"/>
        <v>0</v>
      </c>
      <c r="AD287" s="125">
        <f>IF(Valores!$C$29*B287&gt;Valores!$F$29,Valores!$F$29,Valores!$C$29*B287)</f>
        <v>1622.32</v>
      </c>
      <c r="AE287" s="192">
        <v>0</v>
      </c>
      <c r="AF287" s="125">
        <f>ROUND(AE287*Valores!$C$2,2)</f>
        <v>0</v>
      </c>
      <c r="AG287" s="125">
        <f>IF($F$4="NO",IF(Valores!$D$64*'Escala Docente'!B287&gt;Valores!$F$64,Valores!$F$64,Valores!$D$64*'Escala Docente'!B287),IF(Valores!$D$64*'Escala Docente'!B287&gt;Valores!$F$64,Valores!$F$64,Valores!$D$64*'Escala Docente'!B287)/2)</f>
        <v>37094.620000000003</v>
      </c>
      <c r="AH287" s="125">
        <f>SUM(F287,H287,J287,L287,M287,N287,O287,P287,Q287,R287,T287,U287,V287,X287,Y287,Z287,AA287,AC287,AD287,AF287,AG287)*Valores!$C$104</f>
        <v>56361.618999999999</v>
      </c>
      <c r="AI287" s="125">
        <f t="shared" si="50"/>
        <v>619977.80899999989</v>
      </c>
      <c r="AJ287" s="125">
        <f>IF(Valores!$C$33*B287&gt;Valores!$F$33,Valores!$F$33,Valores!$C$33*B287)</f>
        <v>70000</v>
      </c>
      <c r="AK287" s="125">
        <v>0</v>
      </c>
      <c r="AL287" s="125">
        <f>IF(Valores!$C$92*B287&gt;Valores!$C$91,Valores!$C$91,Valores!$C$92*B287)</f>
        <v>0</v>
      </c>
      <c r="AM287" s="125">
        <f>IF(Valores!C$40*B287&gt;Valores!F$39,Valores!F$39,Valores!C$40*B287)</f>
        <v>0</v>
      </c>
      <c r="AN287" s="125">
        <f>IF($F$3="NO",0,IF(Valores!$C$63*B287&gt;Valores!$F$63,Valores!$F$63,Valores!$C$63*B287))</f>
        <v>0</v>
      </c>
      <c r="AO287" s="125">
        <f t="shared" si="48"/>
        <v>70000</v>
      </c>
      <c r="AP287" s="125">
        <f>AI287*Valores!$C$72</f>
        <v>-68197.55898999999</v>
      </c>
      <c r="AQ287" s="125">
        <f>IF(AI287&lt;Valores!$E$73,-0.02,IF(AI287&lt;Valores!$F$73,-0.03,-0.04))*AI287</f>
        <v>-12399.556179999998</v>
      </c>
      <c r="AR287" s="125">
        <f>AI287*Valores!$C$75</f>
        <v>-34098.779494999995</v>
      </c>
      <c r="AS287" s="125">
        <f>Valores!$C$102</f>
        <v>-1270.1600000000001</v>
      </c>
      <c r="AT287" s="125">
        <f>IF($F$5=0,Valores!$C$103,(Valores!$C$103+$F$5*(Valores!$C$103)))</f>
        <v>-3700</v>
      </c>
      <c r="AU287" s="125">
        <f t="shared" si="51"/>
        <v>570311.75433499995</v>
      </c>
      <c r="AV287" s="125">
        <f t="shared" si="45"/>
        <v>-68197.55898999999</v>
      </c>
      <c r="AW287" s="125">
        <f t="shared" si="52"/>
        <v>-12399.556179999998</v>
      </c>
      <c r="AX287" s="125">
        <f>AI287*Valores!$C$76</f>
        <v>-16739.400842999996</v>
      </c>
      <c r="AY287" s="125">
        <f>AI287*Valores!$C$77</f>
        <v>-1859.9334269999997</v>
      </c>
      <c r="AZ287" s="125">
        <f t="shared" si="49"/>
        <v>590781.3595599999</v>
      </c>
      <c r="BA287" s="125">
        <f>AI287*Valores!$C$79</f>
        <v>99196.449439999982</v>
      </c>
      <c r="BB287" s="125">
        <f>AI287*Valores!$C$80</f>
        <v>43398.446629999999</v>
      </c>
      <c r="BC287" s="125">
        <f>AI287*Valores!$C$81</f>
        <v>6199.7780899999989</v>
      </c>
      <c r="BD287" s="125">
        <f>AI287*Valores!$C$83</f>
        <v>21699.223314999999</v>
      </c>
      <c r="BE287" s="125">
        <f>AI287*Valores!$C$85</f>
        <v>33478.801685999992</v>
      </c>
      <c r="BF287" s="125">
        <f>AI287*Valores!$C$84</f>
        <v>3719.8668539999994</v>
      </c>
      <c r="BG287" s="126"/>
      <c r="BH287" s="126">
        <f t="shared" ref="BH287:BH299" si="54">1*B287</f>
        <v>31</v>
      </c>
      <c r="BI287" s="123" t="s">
        <v>8</v>
      </c>
    </row>
    <row r="288" spans="1:61" s="110" customFormat="1" ht="11.25" customHeight="1" x14ac:dyDescent="0.15">
      <c r="A288" s="123" t="s">
        <v>466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4"/>
        <v>2449</v>
      </c>
      <c r="F288" s="125">
        <f>ROUND(E288*Valores!$C$2,2)</f>
        <v>190034.32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64664.45</v>
      </c>
      <c r="N288" s="125">
        <f t="shared" si="46"/>
        <v>0</v>
      </c>
      <c r="O288" s="125">
        <f>Valores!$C$7*B288</f>
        <v>81572.47</v>
      </c>
      <c r="P288" s="125">
        <f>ROUND(IF(B288&lt;15,(Valores!$E$5*B288),Valores!$D$5),2)</f>
        <v>39667.43</v>
      </c>
      <c r="Q288" s="125">
        <v>0</v>
      </c>
      <c r="R288" s="125">
        <f>IF($F$4="NO",IF(Valores!$C$50*B288&gt;Valores!$F$47,Valores!$F$47,Valores!$C$50*B288),IF(Valores!$C$50*B288&gt;Valores!$F$47,Valores!$F$47,Valores!$C$50*B288)/2)</f>
        <v>42967.86</v>
      </c>
      <c r="S288" s="125">
        <f>Valores!$C$18*B288</f>
        <v>25655.600000000002</v>
      </c>
      <c r="T288" s="125">
        <f t="shared" si="53"/>
        <v>25655.599999999999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IF(Valores!$C$99*B288&gt;Valores!$C$98,Valores!$C$98,Valores!$C$99*B288)</f>
        <v>78321.5</v>
      </c>
      <c r="AA288" s="125">
        <f>IF((Valores!$C$28)*B288&gt;Valores!$F$28,Valores!$F$28,(Valores!$C$28)*B288)</f>
        <v>2015.62</v>
      </c>
      <c r="AB288" s="214">
        <v>0</v>
      </c>
      <c r="AC288" s="125">
        <f t="shared" si="47"/>
        <v>0</v>
      </c>
      <c r="AD288" s="125">
        <f>IF(Valores!$C$29*B288&gt;Valores!$F$29,Valores!$F$29,Valores!$C$29*B288)</f>
        <v>1622.32</v>
      </c>
      <c r="AE288" s="192">
        <v>94</v>
      </c>
      <c r="AF288" s="125">
        <f>ROUND(AE288*Valores!$C$2,2)</f>
        <v>7294.09</v>
      </c>
      <c r="AG288" s="125">
        <f>IF($F$4="NO",IF(Valores!$D$64*'Escala Docente'!B288&gt;Valores!$F$64,Valores!$F$64,Valores!$D$64*'Escala Docente'!B288),IF(Valores!$D$64*'Escala Docente'!B288&gt;Valores!$F$64,Valores!$F$64,Valores!$D$64*'Escala Docente'!B288)/2)</f>
        <v>37094.620000000003</v>
      </c>
      <c r="AH288" s="125">
        <f>SUM(F288,H288,J288,L288,M288,N288,O288,P288,Q288,R288,T288,U288,V288,X288,Y288,Z288,AA288,AC288,AD288,AF288,AG288)*Valores!$C$104</f>
        <v>57091.027999999991</v>
      </c>
      <c r="AI288" s="125">
        <f t="shared" si="50"/>
        <v>628001.30799999996</v>
      </c>
      <c r="AJ288" s="125">
        <f>IF(Valores!$C$33*B288&gt;Valores!$F$33,Valores!$F$33,Valores!$C$33*B288)</f>
        <v>70000</v>
      </c>
      <c r="AK288" s="125">
        <v>0</v>
      </c>
      <c r="AL288" s="125">
        <f>IF(Valores!$C$92*B288&gt;Valores!$C$91,Valores!$C$91,Valores!$C$92*B288)</f>
        <v>0</v>
      </c>
      <c r="AM288" s="125">
        <f>IF(Valores!C$40*B288&gt;Valores!F$39,Valores!F$39,Valores!C$40*B288)</f>
        <v>0</v>
      </c>
      <c r="AN288" s="125">
        <f>IF($F$3="NO",0,IF(Valores!$C$63*B288&gt;Valores!$F$63,Valores!$F$63,Valores!$C$63*B288))</f>
        <v>0</v>
      </c>
      <c r="AO288" s="125">
        <f t="shared" si="48"/>
        <v>70000</v>
      </c>
      <c r="AP288" s="125">
        <f>AI288*Valores!$C$72</f>
        <v>-69080.143880000003</v>
      </c>
      <c r="AQ288" s="125">
        <f>IF(AI288&lt;Valores!$E$73,-0.02,IF(AI288&lt;Valores!$F$73,-0.03,-0.04))*AI288</f>
        <v>-12560.026159999999</v>
      </c>
      <c r="AR288" s="125">
        <f>AI288*Valores!$C$75</f>
        <v>-34540.071940000002</v>
      </c>
      <c r="AS288" s="125">
        <f>Valores!$C$102</f>
        <v>-1270.1600000000001</v>
      </c>
      <c r="AT288" s="125">
        <f>IF($F$5=0,Valores!$C$103,(Valores!$C$103+$F$5*(Valores!$C$103)))</f>
        <v>-3700</v>
      </c>
      <c r="AU288" s="125">
        <f t="shared" si="51"/>
        <v>576850.90601999999</v>
      </c>
      <c r="AV288" s="125">
        <f t="shared" si="45"/>
        <v>-69080.143880000003</v>
      </c>
      <c r="AW288" s="125">
        <f t="shared" si="52"/>
        <v>-12560.026159999999</v>
      </c>
      <c r="AX288" s="125">
        <f>AI288*Valores!$C$76</f>
        <v>-16956.035315999998</v>
      </c>
      <c r="AY288" s="125">
        <f>AI288*Valores!$C$77</f>
        <v>-1884.0039239999999</v>
      </c>
      <c r="AZ288" s="125">
        <f t="shared" si="49"/>
        <v>597521.09872000001</v>
      </c>
      <c r="BA288" s="125">
        <f>AI288*Valores!$C$79</f>
        <v>100480.20928</v>
      </c>
      <c r="BB288" s="125">
        <f>AI288*Valores!$C$80</f>
        <v>43960.091560000001</v>
      </c>
      <c r="BC288" s="125">
        <f>AI288*Valores!$C$81</f>
        <v>6280.0130799999997</v>
      </c>
      <c r="BD288" s="125">
        <f>AI288*Valores!$C$83</f>
        <v>21980.04578</v>
      </c>
      <c r="BE288" s="125">
        <f>AI288*Valores!$C$85</f>
        <v>33912.070631999995</v>
      </c>
      <c r="BF288" s="125">
        <f>AI288*Valores!$C$84</f>
        <v>3768.0078479999997</v>
      </c>
      <c r="BG288" s="126"/>
      <c r="BH288" s="126">
        <f t="shared" si="54"/>
        <v>31</v>
      </c>
      <c r="BI288" s="123" t="s">
        <v>8</v>
      </c>
    </row>
    <row r="289" spans="1:1029" s="110" customFormat="1" ht="11.25" customHeight="1" x14ac:dyDescent="0.15">
      <c r="A289" s="123" t="s">
        <v>466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4"/>
        <v>2528</v>
      </c>
      <c r="F289" s="125">
        <f>ROUND(E289*Valores!$C$2,2)</f>
        <v>196164.46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66750.399999999994</v>
      </c>
      <c r="N289" s="125">
        <f t="shared" si="46"/>
        <v>0</v>
      </c>
      <c r="O289" s="125">
        <f>Valores!$C$7*B289</f>
        <v>84203.839999999997</v>
      </c>
      <c r="P289" s="125">
        <f>ROUND(IF(B289&lt;15,(Valores!$E$5*B289),Valores!$D$5),2)</f>
        <v>39667.43</v>
      </c>
      <c r="Q289" s="125">
        <v>0</v>
      </c>
      <c r="R289" s="125">
        <f>IF($F$4="NO",IF(Valores!$C$50*B289&gt;Valores!$F$47,Valores!$F$47,Valores!$C$50*B289),IF(Valores!$C$50*B289&gt;Valores!$F$47,Valores!$F$47,Valores!$C$50*B289)/2)</f>
        <v>44353.919999999998</v>
      </c>
      <c r="S289" s="125">
        <f>Valores!$C$18*B289</f>
        <v>26483.200000000001</v>
      </c>
      <c r="T289" s="125">
        <f t="shared" si="53"/>
        <v>26483.200000000001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IF(Valores!$C$99*B289&gt;Valores!$C$98,Valores!$C$98,Valores!$C$99*B289)</f>
        <v>80848</v>
      </c>
      <c r="AA289" s="125">
        <f>IF((Valores!$C$28)*B289&gt;Valores!$F$28,Valores!$F$28,(Valores!$C$28)*B289)</f>
        <v>2080.64</v>
      </c>
      <c r="AB289" s="214">
        <v>0</v>
      </c>
      <c r="AC289" s="125">
        <f t="shared" si="47"/>
        <v>0</v>
      </c>
      <c r="AD289" s="125">
        <f>IF(Valores!$C$29*B289&gt;Valores!$F$29,Valores!$F$29,Valores!$C$29*B289)</f>
        <v>1622.32</v>
      </c>
      <c r="AE289" s="192">
        <v>0</v>
      </c>
      <c r="AF289" s="125">
        <f>ROUND(AE289*Valores!$C$2,2)</f>
        <v>0</v>
      </c>
      <c r="AG289" s="125">
        <f>IF($F$4="NO",IF(Valores!$D$64*'Escala Docente'!B289&gt;Valores!$F$64,Valores!$F$64,Valores!$D$64*'Escala Docente'!B289),IF(Valores!$D$64*'Escala Docente'!B289&gt;Valores!$F$64,Valores!$F$64,Valores!$D$64*'Escala Docente'!B289)/2)</f>
        <v>37094.620000000003</v>
      </c>
      <c r="AH289" s="125">
        <f>SUM(F289,H289,J289,L289,M289,N289,O289,P289,Q289,R289,T289,U289,V289,X289,Y289,Z289,AA289,AC289,AD289,AF289,AG289)*Valores!$C$104</f>
        <v>57926.883000000002</v>
      </c>
      <c r="AI289" s="125">
        <f t="shared" si="50"/>
        <v>637195.71299999999</v>
      </c>
      <c r="AJ289" s="125">
        <f>IF(Valores!$C$33*B289&gt;Valores!$F$33,Valores!$F$33,Valores!$C$33*B289)</f>
        <v>70000</v>
      </c>
      <c r="AK289" s="125">
        <v>0</v>
      </c>
      <c r="AL289" s="125">
        <f>IF(Valores!$C$92*B289&gt;Valores!$C$91,Valores!$C$91,Valores!$C$92*B289)</f>
        <v>0</v>
      </c>
      <c r="AM289" s="125">
        <f>IF(Valores!C$40*B289&gt;Valores!F$39,Valores!F$39,Valores!C$40*B289)</f>
        <v>0</v>
      </c>
      <c r="AN289" s="125">
        <f>IF($F$3="NO",0,IF(Valores!$C$63*B289&gt;Valores!$F$63,Valores!$F$63,Valores!$C$63*B289))</f>
        <v>0</v>
      </c>
      <c r="AO289" s="125">
        <f t="shared" si="48"/>
        <v>70000</v>
      </c>
      <c r="AP289" s="125">
        <f>AI289*Valores!$C$72</f>
        <v>-70091.528430000006</v>
      </c>
      <c r="AQ289" s="125">
        <f>IF(AI289&lt;Valores!$E$73,-0.02,IF(AI289&lt;Valores!$F$73,-0.03,-0.04))*AI289</f>
        <v>-12743.91426</v>
      </c>
      <c r="AR289" s="125">
        <f>AI289*Valores!$C$75</f>
        <v>-35045.764215000003</v>
      </c>
      <c r="AS289" s="125">
        <f>Valores!$C$102</f>
        <v>-1270.1600000000001</v>
      </c>
      <c r="AT289" s="125">
        <f>IF($F$5=0,Valores!$C$103,(Valores!$C$103+$F$5*(Valores!$C$103)))</f>
        <v>-3700</v>
      </c>
      <c r="AU289" s="125">
        <f t="shared" si="51"/>
        <v>584344.34609499993</v>
      </c>
      <c r="AV289" s="125">
        <f t="shared" si="45"/>
        <v>-70091.528430000006</v>
      </c>
      <c r="AW289" s="125">
        <f t="shared" si="52"/>
        <v>-12743.91426</v>
      </c>
      <c r="AX289" s="125">
        <f>AI289*Valores!$C$76</f>
        <v>-17204.284251000001</v>
      </c>
      <c r="AY289" s="125">
        <f>AI289*Valores!$C$77</f>
        <v>-1911.587139</v>
      </c>
      <c r="AZ289" s="125">
        <f t="shared" si="49"/>
        <v>605244.39891999995</v>
      </c>
      <c r="BA289" s="125">
        <f>AI289*Valores!$C$79</f>
        <v>101951.31408</v>
      </c>
      <c r="BB289" s="125">
        <f>AI289*Valores!$C$80</f>
        <v>44603.699910000003</v>
      </c>
      <c r="BC289" s="125">
        <f>AI289*Valores!$C$81</f>
        <v>6371.9571299999998</v>
      </c>
      <c r="BD289" s="125">
        <f>AI289*Valores!$C$83</f>
        <v>22301.849955000002</v>
      </c>
      <c r="BE289" s="125">
        <f>AI289*Valores!$C$85</f>
        <v>34408.568502000002</v>
      </c>
      <c r="BF289" s="125">
        <f>AI289*Valores!$C$84</f>
        <v>3823.174278</v>
      </c>
      <c r="BG289" s="126"/>
      <c r="BH289" s="126">
        <f t="shared" si="54"/>
        <v>32</v>
      </c>
      <c r="BI289" s="123" t="s">
        <v>8</v>
      </c>
    </row>
    <row r="290" spans="1:1029" s="110" customFormat="1" ht="11.25" customHeight="1" x14ac:dyDescent="0.15">
      <c r="A290" s="123" t="s">
        <v>466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4"/>
        <v>2528</v>
      </c>
      <c r="F290" s="125">
        <f>ROUND(E290*Valores!$C$2,2)</f>
        <v>196164.46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66750.399999999994</v>
      </c>
      <c r="N290" s="125">
        <f t="shared" si="46"/>
        <v>0</v>
      </c>
      <c r="O290" s="125">
        <f>Valores!$C$7*B290</f>
        <v>84203.839999999997</v>
      </c>
      <c r="P290" s="125">
        <f>ROUND(IF(B290&lt;15,(Valores!$E$5*B290),Valores!$D$5),2)</f>
        <v>39667.43</v>
      </c>
      <c r="Q290" s="125">
        <v>0</v>
      </c>
      <c r="R290" s="125">
        <f>IF($F$4="NO",IF(Valores!$C$50*B290&gt;Valores!$F$47,Valores!$F$47,Valores!$C$50*B290),IF(Valores!$C$50*B290&gt;Valores!$F$47,Valores!$F$47,Valores!$C$50*B290)/2)</f>
        <v>44353.919999999998</v>
      </c>
      <c r="S290" s="125">
        <f>Valores!$C$18*B290</f>
        <v>26483.200000000001</v>
      </c>
      <c r="T290" s="125">
        <f t="shared" si="53"/>
        <v>26483.200000000001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IF(Valores!$C$99*B290&gt;Valores!$C$98,Valores!$C$98,Valores!$C$99*B290)</f>
        <v>80848</v>
      </c>
      <c r="AA290" s="125">
        <f>IF((Valores!$C$28)*B290&gt;Valores!$F$28,Valores!$F$28,(Valores!$C$28)*B290)</f>
        <v>2080.64</v>
      </c>
      <c r="AB290" s="214">
        <v>0</v>
      </c>
      <c r="AC290" s="125">
        <f t="shared" si="47"/>
        <v>0</v>
      </c>
      <c r="AD290" s="125">
        <f>IF(Valores!$C$29*B290&gt;Valores!$F$29,Valores!$F$29,Valores!$C$29*B290)</f>
        <v>1622.32</v>
      </c>
      <c r="AE290" s="192">
        <v>94</v>
      </c>
      <c r="AF290" s="125">
        <f>ROUND(AE290*Valores!$C$2,2)</f>
        <v>7294.09</v>
      </c>
      <c r="AG290" s="125">
        <f>IF($F$4="NO",IF(Valores!$D$64*'Escala Docente'!B290&gt;Valores!$F$64,Valores!$F$64,Valores!$D$64*'Escala Docente'!B290),IF(Valores!$D$64*'Escala Docente'!B290&gt;Valores!$F$64,Valores!$F$64,Valores!$D$64*'Escala Docente'!B290)/2)</f>
        <v>37094.620000000003</v>
      </c>
      <c r="AH290" s="125">
        <f>SUM(F290,H290,J290,L290,M290,N290,O290,P290,Q290,R290,T290,U290,V290,X290,Y290,Z290,AA290,AC290,AD290,AF290,AG290)*Valores!$C$104</f>
        <v>58656.291999999994</v>
      </c>
      <c r="AI290" s="125">
        <f t="shared" si="50"/>
        <v>645219.21199999994</v>
      </c>
      <c r="AJ290" s="125">
        <f>IF(Valores!$C$33*B290&gt;Valores!$F$33,Valores!$F$33,Valores!$C$33*B290)</f>
        <v>70000</v>
      </c>
      <c r="AK290" s="125">
        <v>0</v>
      </c>
      <c r="AL290" s="125">
        <f>IF(Valores!$C$92*B290&gt;Valores!$C$91,Valores!$C$91,Valores!$C$92*B290)</f>
        <v>0</v>
      </c>
      <c r="AM290" s="125">
        <f>IF(Valores!C$40*B290&gt;Valores!F$39,Valores!F$39,Valores!C$40*B290)</f>
        <v>0</v>
      </c>
      <c r="AN290" s="125">
        <f>IF($F$3="NO",0,IF(Valores!$C$63*B290&gt;Valores!$F$63,Valores!$F$63,Valores!$C$63*B290))</f>
        <v>0</v>
      </c>
      <c r="AO290" s="125">
        <f t="shared" si="48"/>
        <v>70000</v>
      </c>
      <c r="AP290" s="125">
        <f>AI290*Valores!$C$72</f>
        <v>-70974.113319999989</v>
      </c>
      <c r="AQ290" s="125">
        <f>IF(AI290&lt;Valores!$E$73,-0.02,IF(AI290&lt;Valores!$F$73,-0.03,-0.04))*AI290</f>
        <v>-12904.384239999999</v>
      </c>
      <c r="AR290" s="125">
        <f>AI290*Valores!$C$75</f>
        <v>-35487.056659999995</v>
      </c>
      <c r="AS290" s="125">
        <f>Valores!$C$102</f>
        <v>-1270.1600000000001</v>
      </c>
      <c r="AT290" s="125">
        <f>IF($F$5=0,Valores!$C$103,(Valores!$C$103+$F$5*(Valores!$C$103)))</f>
        <v>-3700</v>
      </c>
      <c r="AU290" s="125">
        <f t="shared" si="51"/>
        <v>590883.49777999998</v>
      </c>
      <c r="AV290" s="125">
        <f t="shared" si="45"/>
        <v>-70974.113319999989</v>
      </c>
      <c r="AW290" s="125">
        <f t="shared" si="52"/>
        <v>-12904.384239999999</v>
      </c>
      <c r="AX290" s="125">
        <f>AI290*Valores!$C$76</f>
        <v>-17420.918723999999</v>
      </c>
      <c r="AY290" s="125">
        <f>AI290*Valores!$C$77</f>
        <v>-1935.6576359999999</v>
      </c>
      <c r="AZ290" s="125">
        <f t="shared" si="49"/>
        <v>611984.13807999995</v>
      </c>
      <c r="BA290" s="125">
        <f>AI290*Valores!$C$79</f>
        <v>103235.07392</v>
      </c>
      <c r="BB290" s="125">
        <f>AI290*Valores!$C$80</f>
        <v>45165.344839999998</v>
      </c>
      <c r="BC290" s="125">
        <f>AI290*Valores!$C$81</f>
        <v>6452.1921199999997</v>
      </c>
      <c r="BD290" s="125">
        <f>AI290*Valores!$C$83</f>
        <v>22582.672419999999</v>
      </c>
      <c r="BE290" s="125">
        <f>AI290*Valores!$C$85</f>
        <v>34841.837447999998</v>
      </c>
      <c r="BF290" s="125">
        <f>AI290*Valores!$C$84</f>
        <v>3871.3152719999998</v>
      </c>
      <c r="BG290" s="126"/>
      <c r="BH290" s="126">
        <f t="shared" si="54"/>
        <v>32</v>
      </c>
      <c r="BI290" s="123" t="s">
        <v>8</v>
      </c>
    </row>
    <row r="291" spans="1:1029" s="110" customFormat="1" ht="11.25" customHeight="1" x14ac:dyDescent="0.15">
      <c r="A291" s="123" t="s">
        <v>466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5">79*B291</f>
        <v>2607</v>
      </c>
      <c r="F291" s="125">
        <f>ROUND(E291*Valores!$C$2,2)</f>
        <v>202294.6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68836.350000000006</v>
      </c>
      <c r="N291" s="125">
        <f t="shared" si="46"/>
        <v>0</v>
      </c>
      <c r="O291" s="125">
        <f>Valores!$C$7*B291</f>
        <v>86835.209999999992</v>
      </c>
      <c r="P291" s="125">
        <f>ROUND(IF(B291&lt;15,(Valores!$E$5*B291),Valores!$D$5),2)</f>
        <v>39667.43</v>
      </c>
      <c r="Q291" s="125">
        <v>0</v>
      </c>
      <c r="R291" s="125">
        <f>IF($F$4="NO",IF(Valores!$C$50*B291&gt;Valores!$F$47,Valores!$F$47,Valores!$C$50*B291),IF(Valores!$C$50*B291&gt;Valores!$F$47,Valores!$F$47,Valores!$C$50*B291)/2)</f>
        <v>45739.979999999996</v>
      </c>
      <c r="S291" s="125">
        <f>Valores!$C$18*B291</f>
        <v>27310.799999999999</v>
      </c>
      <c r="T291" s="125">
        <f t="shared" si="53"/>
        <v>27310.799999999999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IF(Valores!$C$99*B291&gt;Valores!$C$98,Valores!$C$98,Valores!$C$99*B291)</f>
        <v>83374.5</v>
      </c>
      <c r="AA291" s="125">
        <f>IF((Valores!$C$28)*B291&gt;Valores!$F$28,Valores!$F$28,(Valores!$C$28)*B291)</f>
        <v>2145.66</v>
      </c>
      <c r="AB291" s="214">
        <v>0</v>
      </c>
      <c r="AC291" s="125">
        <f t="shared" si="47"/>
        <v>0</v>
      </c>
      <c r="AD291" s="125">
        <f>IF(Valores!$C$29*B291&gt;Valores!$F$29,Valores!$F$29,Valores!$C$29*B291)</f>
        <v>1622.32</v>
      </c>
      <c r="AE291" s="192">
        <v>0</v>
      </c>
      <c r="AF291" s="125">
        <f>ROUND(AE291*Valores!$C$2,2)</f>
        <v>0</v>
      </c>
      <c r="AG291" s="125">
        <f>IF($F$4="NO",IF(Valores!$D$64*'Escala Docente'!B291&gt;Valores!$F$64,Valores!$F$64,Valores!$D$64*'Escala Docente'!B291),IF(Valores!$D$64*'Escala Docente'!B291&gt;Valores!$F$64,Valores!$F$64,Valores!$D$64*'Escala Docente'!B291)/2)</f>
        <v>37094.620000000003</v>
      </c>
      <c r="AH291" s="125">
        <f>SUM(F291,H291,J291,L291,M291,N291,O291,P291,Q291,R291,T291,U291,V291,X291,Y291,Z291,AA291,AC291,AD291,AF291,AG291)*Valores!$C$104</f>
        <v>59492.146999999997</v>
      </c>
      <c r="AI291" s="125">
        <f t="shared" si="50"/>
        <v>654413.61699999997</v>
      </c>
      <c r="AJ291" s="125">
        <f>IF(Valores!$C$33*B291&gt;Valores!$F$33,Valores!$F$33,Valores!$C$33*B291)</f>
        <v>70000</v>
      </c>
      <c r="AK291" s="125">
        <v>0</v>
      </c>
      <c r="AL291" s="125">
        <f>IF(Valores!$C$92*B291&gt;Valores!$C$91,Valores!$C$91,Valores!$C$92*B291)</f>
        <v>0</v>
      </c>
      <c r="AM291" s="125">
        <f>IF(Valores!C$40*B291&gt;Valores!F$39,Valores!F$39,Valores!C$40*B291)</f>
        <v>0</v>
      </c>
      <c r="AN291" s="125">
        <f>IF($F$3="NO",0,IF(Valores!$C$63*B291&gt;Valores!$F$63,Valores!$F$63,Valores!$C$63*B291))</f>
        <v>0</v>
      </c>
      <c r="AO291" s="125">
        <f t="shared" si="48"/>
        <v>70000</v>
      </c>
      <c r="AP291" s="125">
        <f>AI291*Valores!$C$72</f>
        <v>-71985.497869999992</v>
      </c>
      <c r="AQ291" s="125">
        <f>IF(AI291&lt;Valores!$E$73,-0.02,IF(AI291&lt;Valores!$F$73,-0.03,-0.04))*AI291</f>
        <v>-13088.27234</v>
      </c>
      <c r="AR291" s="125">
        <f>AI291*Valores!$C$75</f>
        <v>-35992.748934999996</v>
      </c>
      <c r="AS291" s="125">
        <f>Valores!$C$102</f>
        <v>-1270.1600000000001</v>
      </c>
      <c r="AT291" s="125">
        <f>IF($F$5=0,Valores!$C$103,(Valores!$C$103+$F$5*(Valores!$C$103)))</f>
        <v>-3700</v>
      </c>
      <c r="AU291" s="125">
        <f t="shared" si="51"/>
        <v>598376.93785500003</v>
      </c>
      <c r="AV291" s="125">
        <f t="shared" si="45"/>
        <v>-71985.497869999992</v>
      </c>
      <c r="AW291" s="125">
        <f t="shared" si="52"/>
        <v>-13088.27234</v>
      </c>
      <c r="AX291" s="125">
        <f>AI291*Valores!$C$76</f>
        <v>-17669.167658999999</v>
      </c>
      <c r="AY291" s="125">
        <f>AI291*Valores!$C$77</f>
        <v>-1963.240851</v>
      </c>
      <c r="AZ291" s="125">
        <f t="shared" si="49"/>
        <v>619707.43828</v>
      </c>
      <c r="BA291" s="125">
        <f>AI291*Valores!$C$79</f>
        <v>104706.17872</v>
      </c>
      <c r="BB291" s="125">
        <f>AI291*Valores!$C$80</f>
        <v>45808.95319</v>
      </c>
      <c r="BC291" s="125">
        <f>AI291*Valores!$C$81</f>
        <v>6544.1361699999998</v>
      </c>
      <c r="BD291" s="125">
        <f>AI291*Valores!$C$83</f>
        <v>22904.476595</v>
      </c>
      <c r="BE291" s="125">
        <f>AI291*Valores!$C$85</f>
        <v>35338.335317999998</v>
      </c>
      <c r="BF291" s="125">
        <f>AI291*Valores!$C$84</f>
        <v>3926.481702</v>
      </c>
      <c r="BG291" s="126"/>
      <c r="BH291" s="126">
        <f t="shared" si="54"/>
        <v>33</v>
      </c>
      <c r="BI291" s="123" t="s">
        <v>8</v>
      </c>
    </row>
    <row r="292" spans="1:1029" s="110" customFormat="1" ht="11.25" customHeight="1" x14ac:dyDescent="0.15">
      <c r="A292" s="123" t="s">
        <v>466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5"/>
        <v>2607</v>
      </c>
      <c r="F292" s="125">
        <f>ROUND(E292*Valores!$C$2,2)</f>
        <v>202294.6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68836.350000000006</v>
      </c>
      <c r="N292" s="125">
        <f t="shared" si="46"/>
        <v>0</v>
      </c>
      <c r="O292" s="125">
        <f>Valores!$C$7*B292</f>
        <v>86835.209999999992</v>
      </c>
      <c r="P292" s="125">
        <f>ROUND(IF(B292&lt;15,(Valores!$E$5*B292),Valores!$D$5),2)</f>
        <v>39667.43</v>
      </c>
      <c r="Q292" s="125">
        <v>0</v>
      </c>
      <c r="R292" s="125">
        <f>IF($F$4="NO",IF(Valores!$C$50*B292&gt;Valores!$F$47,Valores!$F$47,Valores!$C$50*B292),IF(Valores!$C$50*B292&gt;Valores!$F$47,Valores!$F$47,Valores!$C$50*B292)/2)</f>
        <v>45739.979999999996</v>
      </c>
      <c r="S292" s="125">
        <f>Valores!$C$18*B292</f>
        <v>27310.799999999999</v>
      </c>
      <c r="T292" s="125">
        <f t="shared" si="53"/>
        <v>27310.799999999999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IF(Valores!$C$99*B292&gt;Valores!$C$98,Valores!$C$98,Valores!$C$99*B292)</f>
        <v>83374.5</v>
      </c>
      <c r="AA292" s="125">
        <f>IF((Valores!$C$28)*B292&gt;Valores!$F$28,Valores!$F$28,(Valores!$C$28)*B292)</f>
        <v>2145.66</v>
      </c>
      <c r="AB292" s="214">
        <v>0</v>
      </c>
      <c r="AC292" s="125">
        <f t="shared" si="47"/>
        <v>0</v>
      </c>
      <c r="AD292" s="125">
        <f>IF(Valores!$C$29*B292&gt;Valores!$F$29,Valores!$F$29,Valores!$C$29*B292)</f>
        <v>1622.32</v>
      </c>
      <c r="AE292" s="192">
        <v>94</v>
      </c>
      <c r="AF292" s="125">
        <f>ROUND(AE292*Valores!$C$2,2)</f>
        <v>7294.09</v>
      </c>
      <c r="AG292" s="125">
        <f>IF($F$4="NO",IF(Valores!$D$64*'Escala Docente'!B292&gt;Valores!$F$64,Valores!$F$64,Valores!$D$64*'Escala Docente'!B292),IF(Valores!$D$64*'Escala Docente'!B292&gt;Valores!$F$64,Valores!$F$64,Valores!$D$64*'Escala Docente'!B292)/2)</f>
        <v>37094.620000000003</v>
      </c>
      <c r="AH292" s="125">
        <f>SUM(F292,H292,J292,L292,M292,N292,O292,P292,Q292,R292,T292,U292,V292,X292,Y292,Z292,AA292,AC292,AD292,AF292,AG292)*Valores!$C$104</f>
        <v>60221.555999999997</v>
      </c>
      <c r="AI292" s="125">
        <f t="shared" si="50"/>
        <v>662437.11599999992</v>
      </c>
      <c r="AJ292" s="125">
        <f>IF(Valores!$C$33*B292&gt;Valores!$F$33,Valores!$F$33,Valores!$C$33*B292)</f>
        <v>70000</v>
      </c>
      <c r="AK292" s="125">
        <v>0</v>
      </c>
      <c r="AL292" s="125">
        <f>IF(Valores!$C$92*B292&gt;Valores!$C$91,Valores!$C$91,Valores!$C$92*B292)</f>
        <v>0</v>
      </c>
      <c r="AM292" s="125">
        <f>IF(Valores!C$40*B292&gt;Valores!F$39,Valores!F$39,Valores!C$40*B292)</f>
        <v>0</v>
      </c>
      <c r="AN292" s="125">
        <f>IF($F$3="NO",0,IF(Valores!$C$63*B292&gt;Valores!$F$63,Valores!$F$63,Valores!$C$63*B292))</f>
        <v>0</v>
      </c>
      <c r="AO292" s="125">
        <f t="shared" si="48"/>
        <v>70000</v>
      </c>
      <c r="AP292" s="125">
        <f>AI292*Valores!$C$72</f>
        <v>-72868.08275999999</v>
      </c>
      <c r="AQ292" s="125">
        <f>IF(AI292&lt;Valores!$E$73,-0.02,IF(AI292&lt;Valores!$F$73,-0.03,-0.04))*AI292</f>
        <v>-13248.742319999999</v>
      </c>
      <c r="AR292" s="125">
        <f>AI292*Valores!$C$75</f>
        <v>-36434.041379999995</v>
      </c>
      <c r="AS292" s="125">
        <f>Valores!$C$102</f>
        <v>-1270.1600000000001</v>
      </c>
      <c r="AT292" s="125">
        <f>IF($F$5=0,Valores!$C$103,(Valores!$C$103+$F$5*(Valores!$C$103)))</f>
        <v>-3700</v>
      </c>
      <c r="AU292" s="125">
        <f t="shared" si="51"/>
        <v>604916.08953999996</v>
      </c>
      <c r="AV292" s="125">
        <f t="shared" si="45"/>
        <v>-72868.08275999999</v>
      </c>
      <c r="AW292" s="125">
        <f t="shared" si="52"/>
        <v>-13248.742319999999</v>
      </c>
      <c r="AX292" s="125">
        <f>AI292*Valores!$C$76</f>
        <v>-17885.802131999997</v>
      </c>
      <c r="AY292" s="125">
        <f>AI292*Valores!$C$77</f>
        <v>-1987.3113479999997</v>
      </c>
      <c r="AZ292" s="125">
        <f t="shared" si="49"/>
        <v>626447.17743999988</v>
      </c>
      <c r="BA292" s="125">
        <f>AI292*Valores!$C$79</f>
        <v>105989.93856</v>
      </c>
      <c r="BB292" s="125">
        <f>AI292*Valores!$C$80</f>
        <v>46370.598120000002</v>
      </c>
      <c r="BC292" s="125">
        <f>AI292*Valores!$C$81</f>
        <v>6624.3711599999997</v>
      </c>
      <c r="BD292" s="125">
        <f>AI292*Valores!$C$83</f>
        <v>23185.299060000001</v>
      </c>
      <c r="BE292" s="125">
        <f>AI292*Valores!$C$85</f>
        <v>35771.604263999994</v>
      </c>
      <c r="BF292" s="125">
        <f>AI292*Valores!$C$84</f>
        <v>3974.6226959999995</v>
      </c>
      <c r="BG292" s="123"/>
      <c r="BH292" s="126">
        <f t="shared" si="54"/>
        <v>33</v>
      </c>
      <c r="BI292" s="123" t="s">
        <v>8</v>
      </c>
    </row>
    <row r="293" spans="1:1029" s="110" customFormat="1" ht="11.25" customHeight="1" x14ac:dyDescent="0.15">
      <c r="A293" s="123" t="s">
        <v>466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5"/>
        <v>2686</v>
      </c>
      <c r="F293" s="125">
        <f>ROUND(E293*Valores!$C$2,2)</f>
        <v>208424.74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70922.3</v>
      </c>
      <c r="N293" s="125">
        <f t="shared" si="46"/>
        <v>0</v>
      </c>
      <c r="O293" s="125">
        <f>Valores!$C$7*B293</f>
        <v>89466.58</v>
      </c>
      <c r="P293" s="125">
        <f>ROUND(IF(B293&lt;15,(Valores!$E$5*B293),Valores!$D$5),2)</f>
        <v>39667.43</v>
      </c>
      <c r="Q293" s="125">
        <v>0</v>
      </c>
      <c r="R293" s="125">
        <f>IF($F$4="NO",IF(Valores!$C$50*B293&gt;Valores!$F$47,Valores!$F$47,Valores!$C$50*B293),IF(Valores!$C$50*B293&gt;Valores!$F$47,Valores!$F$47,Valores!$C$50*B293)/2)</f>
        <v>47126.04</v>
      </c>
      <c r="S293" s="125">
        <f>Valores!$C$18*B293</f>
        <v>28138.400000000001</v>
      </c>
      <c r="T293" s="125">
        <f t="shared" si="53"/>
        <v>28138.400000000001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IF(Valores!$C$99*B293&gt;Valores!$C$98,Valores!$C$98,Valores!$C$99*B293)</f>
        <v>85901</v>
      </c>
      <c r="AA293" s="125">
        <f>IF((Valores!$C$28)*B293&gt;Valores!$F$28,Valores!$F$28,(Valores!$C$28)*B293)</f>
        <v>2210.6799999999998</v>
      </c>
      <c r="AB293" s="214">
        <v>0</v>
      </c>
      <c r="AC293" s="125">
        <f t="shared" si="47"/>
        <v>0</v>
      </c>
      <c r="AD293" s="125">
        <f>IF(Valores!$C$29*B293&gt;Valores!$F$29,Valores!$F$29,Valores!$C$29*B293)</f>
        <v>1622.32</v>
      </c>
      <c r="AE293" s="192">
        <v>0</v>
      </c>
      <c r="AF293" s="125">
        <f>ROUND(AE293*Valores!$C$2,2)</f>
        <v>0</v>
      </c>
      <c r="AG293" s="125">
        <f>IF($F$4="NO",IF(Valores!$D$64*'Escala Docente'!B293&gt;Valores!$F$64,Valores!$F$64,Valores!$D$64*'Escala Docente'!B293),IF(Valores!$D$64*'Escala Docente'!B293&gt;Valores!$F$64,Valores!$F$64,Valores!$D$64*'Escala Docente'!B293)/2)</f>
        <v>37094.620000000003</v>
      </c>
      <c r="AH293" s="125">
        <f>SUM(F293,H293,J293,L293,M293,N293,O293,P293,Q293,R293,T293,U293,V293,X293,Y293,Z293,AA293,AC293,AD293,AF293,AG293)*Valores!$C$104</f>
        <v>61057.411</v>
      </c>
      <c r="AI293" s="125">
        <f t="shared" si="50"/>
        <v>671631.52099999995</v>
      </c>
      <c r="AJ293" s="125">
        <f>IF(Valores!$C$33*B293&gt;Valores!$F$33,Valores!$F$33,Valores!$C$33*B293)</f>
        <v>70000</v>
      </c>
      <c r="AK293" s="125">
        <v>0</v>
      </c>
      <c r="AL293" s="125">
        <f>IF(Valores!$C$92*B293&gt;Valores!$C$91,Valores!$C$91,Valores!$C$92*B293)</f>
        <v>0</v>
      </c>
      <c r="AM293" s="125">
        <f>IF(Valores!C$40*B293&gt;Valores!F$39,Valores!F$39,Valores!C$40*B293)</f>
        <v>0</v>
      </c>
      <c r="AN293" s="125">
        <f>IF($F$3="NO",0,IF(Valores!$C$63*B293&gt;Valores!$F$63,Valores!$F$63,Valores!$C$63*B293))</f>
        <v>0</v>
      </c>
      <c r="AO293" s="125">
        <f t="shared" si="48"/>
        <v>70000</v>
      </c>
      <c r="AP293" s="125">
        <f>AI293*Valores!$C$72</f>
        <v>-73879.467309999993</v>
      </c>
      <c r="AQ293" s="125">
        <f>IF(AI293&lt;Valores!$E$73,-0.02,IF(AI293&lt;Valores!$F$73,-0.03,-0.04))*AI293</f>
        <v>-13432.63042</v>
      </c>
      <c r="AR293" s="125">
        <f>AI293*Valores!$C$75</f>
        <v>-36939.733654999996</v>
      </c>
      <c r="AS293" s="125">
        <f>Valores!$C$102</f>
        <v>-1270.1600000000001</v>
      </c>
      <c r="AT293" s="125">
        <f>IF($F$5=0,Valores!$C$103,(Valores!$C$103+$F$5*(Valores!$C$103)))</f>
        <v>-3700</v>
      </c>
      <c r="AU293" s="125">
        <f t="shared" si="51"/>
        <v>612409.52961500001</v>
      </c>
      <c r="AV293" s="125">
        <f t="shared" si="45"/>
        <v>-73879.467309999993</v>
      </c>
      <c r="AW293" s="125">
        <f t="shared" si="52"/>
        <v>-13432.63042</v>
      </c>
      <c r="AX293" s="125">
        <f>AI293*Valores!$C$76</f>
        <v>-18134.051066999997</v>
      </c>
      <c r="AY293" s="125">
        <f>AI293*Valores!$C$77</f>
        <v>-2014.8945629999998</v>
      </c>
      <c r="AZ293" s="125">
        <f t="shared" si="49"/>
        <v>634170.47763999994</v>
      </c>
      <c r="BA293" s="125">
        <f>AI293*Valores!$C$79</f>
        <v>107461.04336</v>
      </c>
      <c r="BB293" s="125">
        <f>AI293*Valores!$C$80</f>
        <v>47014.206469999997</v>
      </c>
      <c r="BC293" s="125">
        <f>AI293*Valores!$C$81</f>
        <v>6716.3152099999998</v>
      </c>
      <c r="BD293" s="125">
        <f>AI293*Valores!$C$83</f>
        <v>23507.103234999999</v>
      </c>
      <c r="BE293" s="125">
        <f>AI293*Valores!$C$85</f>
        <v>36268.102133999993</v>
      </c>
      <c r="BF293" s="125">
        <f>AI293*Valores!$C$84</f>
        <v>4029.7891259999997</v>
      </c>
      <c r="BG293" s="126"/>
      <c r="BH293" s="126">
        <f t="shared" si="54"/>
        <v>34</v>
      </c>
      <c r="BI293" s="123" t="s">
        <v>8</v>
      </c>
    </row>
    <row r="294" spans="1:1029" s="110" customFormat="1" ht="11.25" customHeight="1" x14ac:dyDescent="0.15">
      <c r="A294" s="123" t="s">
        <v>466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5"/>
        <v>2686</v>
      </c>
      <c r="F294" s="125">
        <f>ROUND(E294*Valores!$C$2,2)</f>
        <v>208424.74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70922.3</v>
      </c>
      <c r="N294" s="125">
        <f t="shared" si="46"/>
        <v>0</v>
      </c>
      <c r="O294" s="125">
        <f>Valores!$C$7*B294</f>
        <v>89466.58</v>
      </c>
      <c r="P294" s="125">
        <f>ROUND(IF(B294&lt;15,(Valores!$E$5*B294),Valores!$D$5),2)</f>
        <v>39667.43</v>
      </c>
      <c r="Q294" s="125">
        <v>0</v>
      </c>
      <c r="R294" s="125">
        <f>IF($F$4="NO",IF(Valores!$C$50*B294&gt;Valores!$F$47,Valores!$F$47,Valores!$C$50*B294),IF(Valores!$C$50*B294&gt;Valores!$F$47,Valores!$F$47,Valores!$C$50*B294)/2)</f>
        <v>47126.04</v>
      </c>
      <c r="S294" s="125">
        <f>Valores!$C$18*B294</f>
        <v>28138.400000000001</v>
      </c>
      <c r="T294" s="125">
        <f t="shared" si="53"/>
        <v>28138.400000000001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IF(Valores!$C$99*B294&gt;Valores!$C$98,Valores!$C$98,Valores!$C$99*B294)</f>
        <v>85901</v>
      </c>
      <c r="AA294" s="125">
        <f>IF((Valores!$C$28)*B294&gt;Valores!$F$28,Valores!$F$28,(Valores!$C$28)*B294)</f>
        <v>2210.6799999999998</v>
      </c>
      <c r="AB294" s="214">
        <v>0</v>
      </c>
      <c r="AC294" s="125">
        <f t="shared" si="47"/>
        <v>0</v>
      </c>
      <c r="AD294" s="125">
        <f>IF(Valores!$C$29*B294&gt;Valores!$F$29,Valores!$F$29,Valores!$C$29*B294)</f>
        <v>1622.32</v>
      </c>
      <c r="AE294" s="192">
        <v>94</v>
      </c>
      <c r="AF294" s="125">
        <f>ROUND(AE294*Valores!$C$2,2)</f>
        <v>7294.09</v>
      </c>
      <c r="AG294" s="125">
        <f>IF($F$4="NO",IF(Valores!$D$64*'Escala Docente'!B294&gt;Valores!$F$64,Valores!$F$64,Valores!$D$64*'Escala Docente'!B294),IF(Valores!$D$64*'Escala Docente'!B294&gt;Valores!$F$64,Valores!$F$64,Valores!$D$64*'Escala Docente'!B294)/2)</f>
        <v>37094.620000000003</v>
      </c>
      <c r="AH294" s="125">
        <f>SUM(F294,H294,J294,L294,M294,N294,O294,P294,Q294,R294,T294,U294,V294,X294,Y294,Z294,AA294,AC294,AD294,AF294,AG294)*Valores!$C$104</f>
        <v>61786.82</v>
      </c>
      <c r="AI294" s="125">
        <f t="shared" si="50"/>
        <v>679655.0199999999</v>
      </c>
      <c r="AJ294" s="125">
        <f>IF(Valores!$C$33*B294&gt;Valores!$F$33,Valores!$F$33,Valores!$C$33*B294)</f>
        <v>70000</v>
      </c>
      <c r="AK294" s="125">
        <v>0</v>
      </c>
      <c r="AL294" s="125">
        <f>IF(Valores!$C$92*B294&gt;Valores!$C$91,Valores!$C$91,Valores!$C$92*B294)</f>
        <v>0</v>
      </c>
      <c r="AM294" s="125">
        <f>IF(Valores!C$40*B294&gt;Valores!F$39,Valores!F$39,Valores!C$40*B294)</f>
        <v>0</v>
      </c>
      <c r="AN294" s="125">
        <f>IF($F$3="NO",0,IF(Valores!$C$63*B294&gt;Valores!$F$63,Valores!$F$63,Valores!$C$63*B294))</f>
        <v>0</v>
      </c>
      <c r="AO294" s="125">
        <f t="shared" si="48"/>
        <v>70000</v>
      </c>
      <c r="AP294" s="125">
        <f>AI294*Valores!$C$72</f>
        <v>-74762.052199999991</v>
      </c>
      <c r="AQ294" s="125">
        <f>IF(AI294&lt;Valores!$E$73,-0.02,IF(AI294&lt;Valores!$F$73,-0.03,-0.04))*AI294</f>
        <v>-13593.100399999998</v>
      </c>
      <c r="AR294" s="125">
        <f>AI294*Valores!$C$75</f>
        <v>-37381.026099999995</v>
      </c>
      <c r="AS294" s="125">
        <f>Valores!$C$102</f>
        <v>-1270.1600000000001</v>
      </c>
      <c r="AT294" s="125">
        <f>IF($F$5=0,Valores!$C$103,(Valores!$C$103+$F$5*(Valores!$C$103)))</f>
        <v>-3700</v>
      </c>
      <c r="AU294" s="125">
        <f t="shared" si="51"/>
        <v>618948.68129999994</v>
      </c>
      <c r="AV294" s="125">
        <f t="shared" si="45"/>
        <v>-74762.052199999991</v>
      </c>
      <c r="AW294" s="125">
        <f t="shared" si="52"/>
        <v>-13593.100399999998</v>
      </c>
      <c r="AX294" s="125">
        <f>AI294*Valores!$C$76</f>
        <v>-18350.685539999999</v>
      </c>
      <c r="AY294" s="125">
        <f>AI294*Valores!$C$77</f>
        <v>-2038.9650599999998</v>
      </c>
      <c r="AZ294" s="125">
        <f t="shared" si="49"/>
        <v>640910.21679999994</v>
      </c>
      <c r="BA294" s="125">
        <f>AI294*Valores!$C$79</f>
        <v>108744.80319999998</v>
      </c>
      <c r="BB294" s="125">
        <f>AI294*Valores!$C$80</f>
        <v>47575.8514</v>
      </c>
      <c r="BC294" s="125">
        <f>AI294*Valores!$C$81</f>
        <v>6796.5501999999988</v>
      </c>
      <c r="BD294" s="125">
        <f>AI294*Valores!$C$83</f>
        <v>23787.9257</v>
      </c>
      <c r="BE294" s="125">
        <f>AI294*Valores!$C$85</f>
        <v>36701.371079999997</v>
      </c>
      <c r="BF294" s="125">
        <f>AI294*Valores!$C$84</f>
        <v>4077.9301199999995</v>
      </c>
      <c r="BG294" s="126"/>
      <c r="BH294" s="126">
        <f t="shared" si="54"/>
        <v>34</v>
      </c>
      <c r="BI294" s="123" t="s">
        <v>8</v>
      </c>
    </row>
    <row r="295" spans="1:1029" s="110" customFormat="1" ht="11.25" customHeight="1" x14ac:dyDescent="0.15">
      <c r="A295" s="123" t="s">
        <v>466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5"/>
        <v>2765</v>
      </c>
      <c r="F295" s="125">
        <f>ROUND(E295*Valores!$C$2,2)</f>
        <v>214554.88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72922.679999999993</v>
      </c>
      <c r="N295" s="125">
        <f t="shared" si="46"/>
        <v>0</v>
      </c>
      <c r="O295" s="125">
        <f>Valores!$C$7*B295</f>
        <v>92097.95</v>
      </c>
      <c r="P295" s="125">
        <f>ROUND(IF(B295&lt;15,(Valores!$E$5*B295),Valores!$D$5),2)</f>
        <v>39667.43</v>
      </c>
      <c r="Q295" s="125">
        <v>0</v>
      </c>
      <c r="R295" s="125">
        <f>IF($F$4="NO",IF(Valores!$C$50*B295&gt;Valores!$F$47,Valores!$F$47,Valores!$C$50*B295),IF(Valores!$C$50*B295&gt;Valores!$F$47,Valores!$F$47,Valores!$C$50*B295)/2)</f>
        <v>48169.84</v>
      </c>
      <c r="S295" s="125">
        <f>Valores!$C$18*B295</f>
        <v>28966</v>
      </c>
      <c r="T295" s="125">
        <f t="shared" si="53"/>
        <v>28966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IF(Valores!$C$99*B295&gt;Valores!$C$98,Valores!$C$98,Valores!$C$99*B295)</f>
        <v>88427.5</v>
      </c>
      <c r="AA295" s="125">
        <f>IF((Valores!$C$28)*B295&gt;Valores!$F$28,Valores!$F$28,(Valores!$C$28)*B295)</f>
        <v>2275.6999999999998</v>
      </c>
      <c r="AB295" s="214">
        <v>0</v>
      </c>
      <c r="AC295" s="125">
        <f t="shared" si="47"/>
        <v>0</v>
      </c>
      <c r="AD295" s="125">
        <f>IF(Valores!$C$29*B295&gt;Valores!$F$29,Valores!$F$29,Valores!$C$29*B295)</f>
        <v>1622.32</v>
      </c>
      <c r="AE295" s="192">
        <v>0</v>
      </c>
      <c r="AF295" s="125">
        <f>ROUND(AE295*Valores!$C$2,2)</f>
        <v>0</v>
      </c>
      <c r="AG295" s="125">
        <f>IF($F$4="NO",IF(Valores!$D$64*'Escala Docente'!B295&gt;Valores!$F$64,Valores!$F$64,Valores!$D$64*'Escala Docente'!B295),IF(Valores!$D$64*'Escala Docente'!B295&gt;Valores!$F$64,Valores!$F$64,Valores!$D$64*'Escala Docente'!B295)/2)</f>
        <v>37094.620000000003</v>
      </c>
      <c r="AH295" s="125">
        <f>SUM(F295,H295,J295,L295,M295,N295,O295,P295,Q295,R295,T295,U295,V295,X295,Y295,Z295,AA295,AC295,AD295,AF295,AG295)*Valores!$C$104</f>
        <v>62579.891999999993</v>
      </c>
      <c r="AI295" s="125">
        <f t="shared" si="50"/>
        <v>688378.81199999992</v>
      </c>
      <c r="AJ295" s="125">
        <f>IF(Valores!$C$33*B295&gt;Valores!$F$33,Valores!$F$33,Valores!$C$33*B295)</f>
        <v>70000</v>
      </c>
      <c r="AK295" s="125">
        <v>0</v>
      </c>
      <c r="AL295" s="125">
        <f>IF(Valores!$C$92*B295&gt;Valores!$C$91,Valores!$C$91,Valores!$C$92*B295)</f>
        <v>0</v>
      </c>
      <c r="AM295" s="125">
        <f>IF(Valores!C$40*B295&gt;Valores!F$39,Valores!F$39,Valores!C$40*B295)</f>
        <v>0</v>
      </c>
      <c r="AN295" s="125">
        <f>IF($F$3="NO",0,IF(Valores!$C$63*B295&gt;Valores!$F$63,Valores!$F$63,Valores!$C$63*B295))</f>
        <v>0</v>
      </c>
      <c r="AO295" s="125">
        <f t="shared" si="48"/>
        <v>70000</v>
      </c>
      <c r="AP295" s="125">
        <f>AI295*Valores!$C$72</f>
        <v>-75721.669319999986</v>
      </c>
      <c r="AQ295" s="125">
        <f>IF(AI295&lt;Valores!$E$73,-0.02,IF(AI295&lt;Valores!$F$73,-0.03,-0.04))*AI295</f>
        <v>-13767.576239999999</v>
      </c>
      <c r="AR295" s="125">
        <f>AI295*Valores!$C$75</f>
        <v>-37860.834659999993</v>
      </c>
      <c r="AS295" s="125">
        <f>Valores!$C$102</f>
        <v>-1270.1600000000001</v>
      </c>
      <c r="AT295" s="125">
        <f>IF($F$5=0,Valores!$C$103,(Valores!$C$103+$F$5*(Valores!$C$103)))</f>
        <v>-3700</v>
      </c>
      <c r="AU295" s="125">
        <f t="shared" si="51"/>
        <v>626058.57177999988</v>
      </c>
      <c r="AV295" s="125">
        <f t="shared" si="45"/>
        <v>-75721.669319999986</v>
      </c>
      <c r="AW295" s="125">
        <f t="shared" si="52"/>
        <v>-13767.576239999999</v>
      </c>
      <c r="AX295" s="125">
        <f>AI295*Valores!$C$76</f>
        <v>-18586.227923999999</v>
      </c>
      <c r="AY295" s="125">
        <f>AI295*Valores!$C$77</f>
        <v>-2065.1364359999998</v>
      </c>
      <c r="AZ295" s="125">
        <f t="shared" si="49"/>
        <v>648238.20207999996</v>
      </c>
      <c r="BA295" s="125">
        <f>AI295*Valores!$C$79</f>
        <v>110140.60991999999</v>
      </c>
      <c r="BB295" s="125">
        <f>AI295*Valores!$C$80</f>
        <v>48186.516839999997</v>
      </c>
      <c r="BC295" s="125">
        <f>AI295*Valores!$C$81</f>
        <v>6883.7881199999993</v>
      </c>
      <c r="BD295" s="125">
        <f>AI295*Valores!$C$83</f>
        <v>24093.258419999998</v>
      </c>
      <c r="BE295" s="125">
        <f>AI295*Valores!$C$85</f>
        <v>37172.455847999998</v>
      </c>
      <c r="BF295" s="125">
        <f>AI295*Valores!$C$84</f>
        <v>4130.2728719999996</v>
      </c>
      <c r="BG295" s="126"/>
      <c r="BH295" s="126">
        <f t="shared" si="54"/>
        <v>35</v>
      </c>
      <c r="BI295" s="123" t="s">
        <v>8</v>
      </c>
    </row>
    <row r="296" spans="1:1029" s="110" customFormat="1" ht="11.25" customHeight="1" x14ac:dyDescent="0.15">
      <c r="A296" s="123" t="s">
        <v>466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5"/>
        <v>2765</v>
      </c>
      <c r="F296" s="125">
        <f>ROUND(E296*Valores!$C$2,2)</f>
        <v>214554.88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72922.679999999993</v>
      </c>
      <c r="N296" s="125">
        <f t="shared" si="46"/>
        <v>0</v>
      </c>
      <c r="O296" s="125">
        <f>Valores!$C$7*B296</f>
        <v>92097.95</v>
      </c>
      <c r="P296" s="125">
        <f>ROUND(IF(B296&lt;15,(Valores!$E$5*B296),Valores!$D$5),2)</f>
        <v>39667.43</v>
      </c>
      <c r="Q296" s="125">
        <v>0</v>
      </c>
      <c r="R296" s="125">
        <f>IF($F$4="NO",IF(Valores!$C$50*B296&gt;Valores!$F$47,Valores!$F$47,Valores!$C$50*B296),IF(Valores!$C$50*B296&gt;Valores!$F$47,Valores!$F$47,Valores!$C$50*B296)/2)</f>
        <v>48169.84</v>
      </c>
      <c r="S296" s="125">
        <f>Valores!$C$18*B296</f>
        <v>28966</v>
      </c>
      <c r="T296" s="125">
        <f t="shared" si="53"/>
        <v>28966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IF(Valores!$C$99*B296&gt;Valores!$C$98,Valores!$C$98,Valores!$C$99*B296)</f>
        <v>88427.5</v>
      </c>
      <c r="AA296" s="125">
        <f>IF((Valores!$C$28)*B296&gt;Valores!$F$28,Valores!$F$28,(Valores!$C$28)*B296)</f>
        <v>2275.6999999999998</v>
      </c>
      <c r="AB296" s="214">
        <v>0</v>
      </c>
      <c r="AC296" s="125">
        <f t="shared" si="47"/>
        <v>0</v>
      </c>
      <c r="AD296" s="125">
        <f>IF(Valores!$C$29*B296&gt;Valores!$F$29,Valores!$F$29,Valores!$C$29*B296)</f>
        <v>1622.32</v>
      </c>
      <c r="AE296" s="192">
        <v>94</v>
      </c>
      <c r="AF296" s="125">
        <f>ROUND(AE296*Valores!$C$2,2)</f>
        <v>7294.09</v>
      </c>
      <c r="AG296" s="125">
        <f>IF($F$4="NO",IF(Valores!$D$64*'Escala Docente'!B296&gt;Valores!$F$64,Valores!$F$64,Valores!$D$64*'Escala Docente'!B296),IF(Valores!$D$64*'Escala Docente'!B296&gt;Valores!$F$64,Valores!$F$64,Valores!$D$64*'Escala Docente'!B296)/2)</f>
        <v>37094.620000000003</v>
      </c>
      <c r="AH296" s="125">
        <f>SUM(F296,H296,J296,L296,M296,N296,O296,P296,Q296,R296,T296,U296,V296,X296,Y296,Z296,AA296,AC296,AD296,AF296,AG296)*Valores!$C$104</f>
        <v>63309.300999999992</v>
      </c>
      <c r="AI296" s="125">
        <f t="shared" si="50"/>
        <v>696402.31099999987</v>
      </c>
      <c r="AJ296" s="125">
        <f>IF(Valores!$C$33*B296&gt;Valores!$F$33,Valores!$F$33,Valores!$C$33*B296)</f>
        <v>70000</v>
      </c>
      <c r="AK296" s="125">
        <v>0</v>
      </c>
      <c r="AL296" s="125">
        <f>IF(Valores!$C$92*B296&gt;Valores!$C$91,Valores!$C$91,Valores!$C$92*B296)</f>
        <v>0</v>
      </c>
      <c r="AM296" s="125">
        <f>IF(Valores!C$40*B296&gt;Valores!F$39,Valores!F$39,Valores!C$40*B296)</f>
        <v>0</v>
      </c>
      <c r="AN296" s="125">
        <f>IF($F$3="NO",0,IF(Valores!$C$63*B296&gt;Valores!$F$63,Valores!$F$63,Valores!$C$63*B296))</f>
        <v>0</v>
      </c>
      <c r="AO296" s="125">
        <f t="shared" si="48"/>
        <v>70000</v>
      </c>
      <c r="AP296" s="125">
        <f>AI296*Valores!$C$72</f>
        <v>-76604.254209999985</v>
      </c>
      <c r="AQ296" s="125">
        <f>IF(AI296&lt;Valores!$E$73,-0.02,IF(AI296&lt;Valores!$F$73,-0.03,-0.04))*AI296</f>
        <v>-13928.046219999998</v>
      </c>
      <c r="AR296" s="125">
        <f>AI296*Valores!$C$75</f>
        <v>-38302.127104999992</v>
      </c>
      <c r="AS296" s="125">
        <f>Valores!$C$102</f>
        <v>-1270.1600000000001</v>
      </c>
      <c r="AT296" s="125">
        <f>IF($F$5=0,Valores!$C$103,(Valores!$C$103+$F$5*(Valores!$C$103)))</f>
        <v>-3700</v>
      </c>
      <c r="AU296" s="125">
        <f t="shared" si="51"/>
        <v>632597.72346499993</v>
      </c>
      <c r="AV296" s="125">
        <f t="shared" si="45"/>
        <v>-76604.254209999985</v>
      </c>
      <c r="AW296" s="125">
        <f t="shared" si="52"/>
        <v>-13928.046219999998</v>
      </c>
      <c r="AX296" s="125">
        <f>AI296*Valores!$C$76</f>
        <v>-18802.862396999997</v>
      </c>
      <c r="AY296" s="125">
        <f>AI296*Valores!$C$77</f>
        <v>-2089.2069329999995</v>
      </c>
      <c r="AZ296" s="125">
        <f t="shared" si="49"/>
        <v>654977.94123999984</v>
      </c>
      <c r="BA296" s="125">
        <f>AI296*Valores!$C$79</f>
        <v>111424.36975999999</v>
      </c>
      <c r="BB296" s="125">
        <f>AI296*Valores!$C$80</f>
        <v>48748.161769999999</v>
      </c>
      <c r="BC296" s="125">
        <f>AI296*Valores!$C$81</f>
        <v>6964.0231099999992</v>
      </c>
      <c r="BD296" s="125">
        <f>AI296*Valores!$C$83</f>
        <v>24374.080884999999</v>
      </c>
      <c r="BE296" s="125">
        <f>AI296*Valores!$C$85</f>
        <v>37605.724793999994</v>
      </c>
      <c r="BF296" s="125">
        <f>AI296*Valores!$C$84</f>
        <v>4178.413865999999</v>
      </c>
      <c r="BG296" s="126"/>
      <c r="BH296" s="126">
        <f t="shared" si="54"/>
        <v>35</v>
      </c>
      <c r="BI296" s="123" t="s">
        <v>8</v>
      </c>
    </row>
    <row r="297" spans="1:1029" s="110" customFormat="1" ht="11.25" customHeight="1" x14ac:dyDescent="0.15">
      <c r="A297" s="123" t="s">
        <v>466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5"/>
        <v>2844</v>
      </c>
      <c r="F297" s="125">
        <f>ROUND(E297*Valores!$C$2,2)</f>
        <v>220685.01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74662.11</v>
      </c>
      <c r="N297" s="125">
        <f t="shared" si="46"/>
        <v>0</v>
      </c>
      <c r="O297" s="125">
        <f>Valores!$C$7*B297</f>
        <v>94729.319999999992</v>
      </c>
      <c r="P297" s="125">
        <f>ROUND(IF(B297&lt;15,(Valores!$E$5*B297),Valores!$D$5),2)</f>
        <v>39667.43</v>
      </c>
      <c r="Q297" s="125">
        <v>0</v>
      </c>
      <c r="R297" s="125">
        <f>IF($F$4="NO",IF(Valores!$C$50*B297&gt;Valores!$F$47,Valores!$F$47,Valores!$C$50*B297),IF(Valores!$C$50*B297&gt;Valores!$F$47,Valores!$F$47,Valores!$C$50*B297)/2)</f>
        <v>48169.84</v>
      </c>
      <c r="S297" s="125">
        <f>Valores!$C$18*B297</f>
        <v>29793.600000000002</v>
      </c>
      <c r="T297" s="125">
        <f t="shared" si="53"/>
        <v>29793.599999999999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IF(Valores!$C$99*B297&gt;Valores!$C$98,Valores!$C$98,Valores!$C$99*B297)</f>
        <v>90954</v>
      </c>
      <c r="AA297" s="125">
        <f>IF((Valores!$C$28)*B297&gt;Valores!$F$28,Valores!$F$28,(Valores!$C$28)*B297)</f>
        <v>2340.7199999999998</v>
      </c>
      <c r="AB297" s="214">
        <v>0</v>
      </c>
      <c r="AC297" s="125">
        <f t="shared" si="47"/>
        <v>0</v>
      </c>
      <c r="AD297" s="125">
        <f>IF(Valores!$C$29*B297&gt;Valores!$F$29,Valores!$F$29,Valores!$C$29*B297)</f>
        <v>1622.32</v>
      </c>
      <c r="AE297" s="192">
        <v>0</v>
      </c>
      <c r="AF297" s="125">
        <f>ROUND(AE297*Valores!$C$2,2)</f>
        <v>0</v>
      </c>
      <c r="AG297" s="125">
        <f>IF($F$4="NO",IF(Valores!$D$64*'Escala Docente'!B297&gt;Valores!$F$64,Valores!$F$64,Valores!$D$64*'Escala Docente'!B297),IF(Valores!$D$64*'Escala Docente'!B297&gt;Valores!$F$64,Valores!$F$64,Valores!$D$64*'Escala Docente'!B297)/2)</f>
        <v>37094.620000000003</v>
      </c>
      <c r="AH297" s="125">
        <f>SUM(F297,H297,J297,L297,M297,N297,O297,P297,Q297,R297,T297,U297,V297,X297,Y297,Z297,AA297,AC297,AD297,AF297,AG297)*Valores!$C$104</f>
        <v>63971.89699999999</v>
      </c>
      <c r="AI297" s="125">
        <f t="shared" si="50"/>
        <v>703690.86699999985</v>
      </c>
      <c r="AJ297" s="125">
        <f>IF(Valores!$C$33*B297&gt;Valores!$F$33,Valores!$F$33,Valores!$C$33*B297)</f>
        <v>70000</v>
      </c>
      <c r="AK297" s="125">
        <v>0</v>
      </c>
      <c r="AL297" s="125">
        <f>IF(Valores!$C$92*B297&gt;Valores!$C$91,Valores!$C$91,Valores!$C$92*B297)</f>
        <v>0</v>
      </c>
      <c r="AM297" s="125">
        <f>IF(Valores!C$40*B297&gt;Valores!F$39,Valores!F$39,Valores!C$40*B297)</f>
        <v>0</v>
      </c>
      <c r="AN297" s="125">
        <f>IF($F$3="NO",0,IF(Valores!$C$63*B297&gt;Valores!$F$63,Valores!$F$63,Valores!$C$63*B297))</f>
        <v>0</v>
      </c>
      <c r="AO297" s="125">
        <f t="shared" si="48"/>
        <v>70000</v>
      </c>
      <c r="AP297" s="125">
        <f>AI297*Valores!$C$72</f>
        <v>-77405.99536999999</v>
      </c>
      <c r="AQ297" s="125">
        <f>IF(AI297&lt;Valores!$E$73,-0.02,IF(AI297&lt;Valores!$F$73,-0.03,-0.04))*AI297</f>
        <v>-14073.817339999998</v>
      </c>
      <c r="AR297" s="125">
        <f>AI297*Valores!$C$75</f>
        <v>-38702.997684999995</v>
      </c>
      <c r="AS297" s="125">
        <f>Valores!$C$102</f>
        <v>-1270.1600000000001</v>
      </c>
      <c r="AT297" s="125">
        <f>IF($F$5=0,Valores!$C$103,(Valores!$C$103+$F$5*(Valores!$C$103)))</f>
        <v>-3700</v>
      </c>
      <c r="AU297" s="125">
        <f t="shared" si="51"/>
        <v>638537.8966049999</v>
      </c>
      <c r="AV297" s="125">
        <f t="shared" si="45"/>
        <v>-77405.99536999999</v>
      </c>
      <c r="AW297" s="125">
        <f t="shared" si="52"/>
        <v>-14073.817339999998</v>
      </c>
      <c r="AX297" s="125">
        <f>AI297*Valores!$C$76</f>
        <v>-18999.653408999995</v>
      </c>
      <c r="AY297" s="125">
        <f>AI297*Valores!$C$77</f>
        <v>-2111.0726009999994</v>
      </c>
      <c r="AZ297" s="125">
        <f t="shared" si="49"/>
        <v>661100.3282799999</v>
      </c>
      <c r="BA297" s="125">
        <f>AI297*Valores!$C$79</f>
        <v>112590.53871999998</v>
      </c>
      <c r="BB297" s="125">
        <f>AI297*Valores!$C$80</f>
        <v>49258.360689999994</v>
      </c>
      <c r="BC297" s="125">
        <f>AI297*Valores!$C$81</f>
        <v>7036.9086699999989</v>
      </c>
      <c r="BD297" s="125">
        <f>AI297*Valores!$C$83</f>
        <v>24629.180344999997</v>
      </c>
      <c r="BE297" s="125">
        <f>AI297*Valores!$C$85</f>
        <v>37999.30681799999</v>
      </c>
      <c r="BF297" s="125">
        <f>AI297*Valores!$C$84</f>
        <v>4222.1452019999988</v>
      </c>
      <c r="BG297" s="126"/>
      <c r="BH297" s="126">
        <f t="shared" si="54"/>
        <v>36</v>
      </c>
      <c r="BI297" s="123" t="s">
        <v>8</v>
      </c>
    </row>
    <row r="298" spans="1:1029" s="110" customFormat="1" ht="11.25" customHeight="1" x14ac:dyDescent="0.15">
      <c r="A298" s="123" t="s">
        <v>466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5"/>
        <v>2844</v>
      </c>
      <c r="F298" s="125">
        <f>ROUND(E298*Valores!$C$2,2)</f>
        <v>220685.01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74662.11</v>
      </c>
      <c r="N298" s="125">
        <f t="shared" si="46"/>
        <v>0</v>
      </c>
      <c r="O298" s="125">
        <f>Valores!$C$7*B298</f>
        <v>94729.319999999992</v>
      </c>
      <c r="P298" s="125">
        <f>ROUND(IF(B298&lt;15,(Valores!$E$5*B298),Valores!$D$5),2)</f>
        <v>39667.43</v>
      </c>
      <c r="Q298" s="125">
        <v>0</v>
      </c>
      <c r="R298" s="125">
        <f>IF($F$4="NO",IF(Valores!$C$50*B298&gt;Valores!$F$47,Valores!$F$47,Valores!$C$50*B298),IF(Valores!$C$50*B298&gt;Valores!$F$47,Valores!$F$47,Valores!$C$50*B298)/2)</f>
        <v>48169.84</v>
      </c>
      <c r="S298" s="125">
        <f>Valores!$C$18*B298</f>
        <v>29793.600000000002</v>
      </c>
      <c r="T298" s="125">
        <f t="shared" si="53"/>
        <v>29793.599999999999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IF(Valores!$C$99*B298&gt;Valores!$C$98,Valores!$C$98,Valores!$C$99*B298)</f>
        <v>90954</v>
      </c>
      <c r="AA298" s="125">
        <f>IF((Valores!$C$28)*B298&gt;Valores!$F$28,Valores!$F$28,(Valores!$C$28)*B298)</f>
        <v>2340.7199999999998</v>
      </c>
      <c r="AB298" s="214">
        <v>0</v>
      </c>
      <c r="AC298" s="125">
        <f t="shared" si="47"/>
        <v>0</v>
      </c>
      <c r="AD298" s="125">
        <f>IF(Valores!$C$29*B298&gt;Valores!$F$29,Valores!$F$29,Valores!$C$29*B298)</f>
        <v>1622.32</v>
      </c>
      <c r="AE298" s="192">
        <v>94</v>
      </c>
      <c r="AF298" s="125">
        <f>ROUND(AE298*Valores!$C$2,2)</f>
        <v>7294.09</v>
      </c>
      <c r="AG298" s="125">
        <f>IF($F$4="NO",IF(Valores!$D$64*'Escala Docente'!B298&gt;Valores!$F$64,Valores!$F$64,Valores!$D$64*'Escala Docente'!B298),IF(Valores!$D$64*'Escala Docente'!B298&gt;Valores!$F$64,Valores!$F$64,Valores!$D$64*'Escala Docente'!B298)/2)</f>
        <v>37094.620000000003</v>
      </c>
      <c r="AH298" s="125">
        <f>SUM(F298,H298,J298,L298,M298,N298,O298,P298,Q298,R298,T298,U298,V298,X298,Y298,Z298,AA298,AC298,AD298,AF298,AG298)*Valores!$C$104</f>
        <v>64701.305999999982</v>
      </c>
      <c r="AI298" s="125">
        <f t="shared" si="50"/>
        <v>711714.36599999981</v>
      </c>
      <c r="AJ298" s="125">
        <f>IF(Valores!$C$33*B298&gt;Valores!$F$33,Valores!$F$33,Valores!$C$33*B298)</f>
        <v>70000</v>
      </c>
      <c r="AK298" s="125">
        <v>0</v>
      </c>
      <c r="AL298" s="125">
        <f>IF(Valores!$C$92*B298&gt;Valores!$C$91,Valores!$C$91,Valores!$C$92*B298)</f>
        <v>0</v>
      </c>
      <c r="AM298" s="125">
        <f>IF(Valores!C$40*B298&gt;Valores!F$39,Valores!F$39,Valores!C$40*B298)</f>
        <v>0</v>
      </c>
      <c r="AN298" s="125">
        <f>IF($F$3="NO",0,IF(Valores!$C$63*B298&gt;Valores!$F$63,Valores!$F$63,Valores!$C$63*B298))</f>
        <v>0</v>
      </c>
      <c r="AO298" s="125">
        <f t="shared" si="48"/>
        <v>70000</v>
      </c>
      <c r="AP298" s="125">
        <f>AI298*Valores!$C$72</f>
        <v>-78288.580259999973</v>
      </c>
      <c r="AQ298" s="125">
        <f>IF(AI298&lt;Valores!$E$73,-0.02,IF(AI298&lt;Valores!$F$73,-0.03,-0.04))*AI298</f>
        <v>-14234.287319999996</v>
      </c>
      <c r="AR298" s="125">
        <f>AI298*Valores!$C$75</f>
        <v>-39144.290129999987</v>
      </c>
      <c r="AS298" s="125">
        <f>Valores!$C$102</f>
        <v>-1270.1600000000001</v>
      </c>
      <c r="AT298" s="125">
        <f>IF($F$5=0,Valores!$C$103,(Valores!$C$103+$F$5*(Valores!$C$103)))</f>
        <v>-3700</v>
      </c>
      <c r="AU298" s="125">
        <f t="shared" si="51"/>
        <v>645077.04828999983</v>
      </c>
      <c r="AV298" s="125">
        <f t="shared" si="45"/>
        <v>-78288.580259999973</v>
      </c>
      <c r="AW298" s="125">
        <f t="shared" si="52"/>
        <v>-14234.287319999996</v>
      </c>
      <c r="AX298" s="125">
        <f>AI298*Valores!$C$76</f>
        <v>-19216.287881999993</v>
      </c>
      <c r="AY298" s="125">
        <f>AI298*Valores!$C$77</f>
        <v>-2135.1430979999996</v>
      </c>
      <c r="AZ298" s="125">
        <f t="shared" si="49"/>
        <v>667840.0674399999</v>
      </c>
      <c r="BA298" s="125">
        <f>AI298*Valores!$C$79</f>
        <v>113874.29855999997</v>
      </c>
      <c r="BB298" s="125">
        <f>AI298*Valores!$C$80</f>
        <v>49820.005619999989</v>
      </c>
      <c r="BC298" s="125">
        <f>AI298*Valores!$C$81</f>
        <v>7117.1436599999979</v>
      </c>
      <c r="BD298" s="125">
        <f>AI298*Valores!$C$83</f>
        <v>24910.002809999994</v>
      </c>
      <c r="BE298" s="125">
        <f>AI298*Valores!$C$85</f>
        <v>38432.575763999987</v>
      </c>
      <c r="BF298" s="125">
        <f>AI298*Valores!$C$84</f>
        <v>4270.2861959999991</v>
      </c>
      <c r="BG298" s="126"/>
      <c r="BH298" s="126">
        <f t="shared" si="54"/>
        <v>36</v>
      </c>
      <c r="BI298" s="123" t="s">
        <v>8</v>
      </c>
    </row>
    <row r="299" spans="1:1029" s="110" customFormat="1" ht="11.25" customHeight="1" x14ac:dyDescent="0.15">
      <c r="A299" s="123" t="s">
        <v>467</v>
      </c>
      <c r="B299" s="123">
        <v>1</v>
      </c>
      <c r="C299" s="126">
        <v>292</v>
      </c>
      <c r="D299" s="124" t="s">
        <v>468</v>
      </c>
      <c r="E299" s="192">
        <v>79</v>
      </c>
      <c r="F299" s="125">
        <f>ROUND(E299*Valores!$C$2,2)</f>
        <v>6130.14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2085.9499999999998</v>
      </c>
      <c r="N299" s="125">
        <f t="shared" si="46"/>
        <v>0</v>
      </c>
      <c r="O299" s="125">
        <f>Valores!$C$7*B299</f>
        <v>2631.37</v>
      </c>
      <c r="P299" s="125">
        <f>ROUND(IF(B299&lt;15,(Valores!$E$5*B299),Valores!$D$5),2)</f>
        <v>2644.5</v>
      </c>
      <c r="Q299" s="125">
        <v>0</v>
      </c>
      <c r="R299" s="125">
        <f>IF($F$4="NO",IF(Valores!$C$50*B299&gt;Valores!$F$47,Valores!$F$47,Valores!$C$50*B299),IF(Valores!$C$50*B299&gt;Valores!$F$47,Valores!$F$47,Valores!$C$50*B299)/2)</f>
        <v>1386.06</v>
      </c>
      <c r="S299" s="125">
        <f>Valores!$C$18*B299</f>
        <v>827.6</v>
      </c>
      <c r="T299" s="125">
        <f t="shared" si="53"/>
        <v>827.6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IF(Valores!$C$99*B299&gt;Valores!$C$98,Valores!$C$98,Valores!$C$99*B299)</f>
        <v>2526.5</v>
      </c>
      <c r="AA299" s="125">
        <f>IF((Valores!$C$28)*B299&gt;Valores!$F$28,Valores!$F$28,(Valores!$C$28)*B299)</f>
        <v>65.02</v>
      </c>
      <c r="AB299" s="214">
        <v>0</v>
      </c>
      <c r="AC299" s="125">
        <f t="shared" si="47"/>
        <v>0</v>
      </c>
      <c r="AD299" s="125">
        <f>IF(Valores!$C$29*B299&gt;Valores!$F$29,Valores!$F$29,Valores!$C$29*B299)</f>
        <v>54.14</v>
      </c>
      <c r="AE299" s="192">
        <v>0</v>
      </c>
      <c r="AF299" s="125">
        <f>ROUND(AE299*Valores!$C$2,2)</f>
        <v>0</v>
      </c>
      <c r="AG299" s="125">
        <f>IF($F$4="NO",IF(Valores!$D$64*'Escala Docente'!B299&gt;Valores!$F$64,Valores!$F$64,Valores!$D$64*'Escala Docente'!B299),IF(Valores!$D$64*'Escala Docente'!B299&gt;Valores!$F$64,Valores!$F$64,Valores!$D$64*'Escala Docente'!B299)/2)</f>
        <v>1236.49</v>
      </c>
      <c r="AH299" s="125">
        <f>SUM(F299,H299,J299,L299,M299,N299,O299,P299,Q299,R299,T299,U299,V299,X299,Y299,Z299,AA299,AC299,AD299,AF299,AG299)*Valores!$C$104</f>
        <v>1958.777</v>
      </c>
      <c r="AI299" s="125">
        <f t="shared" si="50"/>
        <v>21546.546999999999</v>
      </c>
      <c r="AJ299" s="125">
        <f>IF(Valores!$C$33*B299&gt;Valores!$F$33,Valores!$F$33,Valores!$C$33*B299)</f>
        <v>2333.3333333333298</v>
      </c>
      <c r="AK299" s="125">
        <v>0</v>
      </c>
      <c r="AL299" s="125">
        <f>IF(Valores!$C$92*B299&gt;Valores!$C$91,Valores!$C$91,Valores!$C$92*B299)</f>
        <v>0</v>
      </c>
      <c r="AM299" s="125">
        <f>IF(Valores!C$40*B299&gt;Valores!F$39,Valores!F$39,Valores!C$40*B299)</f>
        <v>0</v>
      </c>
      <c r="AN299" s="125">
        <f>IF($F$3="NO",0,IF(Valores!$C$63*B299&gt;Valores!$F$63,Valores!$F$63,Valores!$C$63*B299))</f>
        <v>0</v>
      </c>
      <c r="AO299" s="125">
        <f t="shared" si="48"/>
        <v>2333.3333333333298</v>
      </c>
      <c r="AP299" s="125">
        <f>AI299*Valores!$C$72</f>
        <v>-2370.1201699999997</v>
      </c>
      <c r="AQ299" s="125">
        <f>IF(AI299&lt;Valores!$E$73,-0.02,IF(AI299&lt;Valores!$F$73,-0.03,-0.04))*AI299</f>
        <v>-430.93093999999996</v>
      </c>
      <c r="AR299" s="125">
        <f>AI299*Valores!$C$75</f>
        <v>-1185.0600849999998</v>
      </c>
      <c r="AS299" s="125">
        <f>Valores!$C$102</f>
        <v>-1270.1600000000001</v>
      </c>
      <c r="AT299" s="125">
        <f>IF($F$5=0,Valores!$C$103,(Valores!$C$103+$F$5*(Valores!$C$103)))</f>
        <v>-3700</v>
      </c>
      <c r="AU299" s="125">
        <f t="shared" si="51"/>
        <v>14923.60913833333</v>
      </c>
      <c r="AV299" s="125">
        <f t="shared" si="45"/>
        <v>-2370.1201699999997</v>
      </c>
      <c r="AW299" s="125">
        <f t="shared" si="52"/>
        <v>-430.93093999999996</v>
      </c>
      <c r="AX299" s="125">
        <f>AI299*Valores!$C$76</f>
        <v>-581.75676899999996</v>
      </c>
      <c r="AY299" s="125">
        <f>AI299*Valores!$C$77</f>
        <v>-64.639640999999997</v>
      </c>
      <c r="AZ299" s="125">
        <f t="shared" si="49"/>
        <v>20432.432813333326</v>
      </c>
      <c r="BA299" s="125">
        <f>AI299*Valores!$C$79</f>
        <v>3447.4475199999997</v>
      </c>
      <c r="BB299" s="125">
        <f>AI299*Valores!$C$80</f>
        <v>1508.25829</v>
      </c>
      <c r="BC299" s="125">
        <f>AI299*Valores!$C$81</f>
        <v>215.46546999999998</v>
      </c>
      <c r="BD299" s="125">
        <f>AI299*Valores!$C$83</f>
        <v>754.12914499999999</v>
      </c>
      <c r="BE299" s="125">
        <f>AI299*Valores!$C$85</f>
        <v>1163.5135379999999</v>
      </c>
      <c r="BF299" s="125">
        <f>AI299*Valores!$C$84</f>
        <v>129.27928199999999</v>
      </c>
      <c r="BG299" s="126"/>
      <c r="BH299" s="126">
        <f t="shared" si="54"/>
        <v>1</v>
      </c>
      <c r="BI299" s="123" t="s">
        <v>4</v>
      </c>
    </row>
    <row r="300" spans="1:1029" s="110" customFormat="1" ht="11.25" customHeight="1" x14ac:dyDescent="0.15">
      <c r="A300" s="123" t="s">
        <v>469</v>
      </c>
      <c r="B300" s="123">
        <v>2</v>
      </c>
      <c r="C300" s="126">
        <v>293</v>
      </c>
      <c r="D300" s="124" t="s">
        <v>470</v>
      </c>
      <c r="E300" s="194">
        <v>243</v>
      </c>
      <c r="F300" s="125">
        <f>ROUND(E300*Valores!$C$2,2)</f>
        <v>18856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6"/>
        <v>0</v>
      </c>
      <c r="O300" s="125">
        <v>0</v>
      </c>
      <c r="P300" s="125">
        <f>ROUND(IF(B300&lt;15,(Valores!$E$5*B300),Valores!$D$5),2)</f>
        <v>5289</v>
      </c>
      <c r="Q300" s="125">
        <v>0</v>
      </c>
      <c r="R300" s="125">
        <f>IF($F$4="NO",Valores!C51,Valores!C51/2)</f>
        <v>1030.3800000000001</v>
      </c>
      <c r="S300" s="125">
        <v>0</v>
      </c>
      <c r="T300" s="125">
        <f t="shared" ref="T300:T326" si="56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Valores!$C$100</f>
        <v>4656.34</v>
      </c>
      <c r="AA300" s="125">
        <v>0</v>
      </c>
      <c r="AB300" s="214">
        <v>0</v>
      </c>
      <c r="AC300" s="125">
        <f t="shared" si="47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IF($F$4="NO",Valores!$C$65,Valores!$C$65/2)</f>
        <v>1236.49</v>
      </c>
      <c r="AH300" s="125">
        <f>SUM(F300,H300,J300,L300,M300,N300,O300,P300,Q300,R300,T300,U300,V300,X300,Y300,Z300,AA300,AC300,AD300,AF300,AG300)*Valores!$C$104</f>
        <v>3106.8210000000004</v>
      </c>
      <c r="AI300" s="125">
        <f t="shared" si="50"/>
        <v>34175.031000000003</v>
      </c>
      <c r="AJ300" s="125">
        <f>Valores!$C$34</f>
        <v>4666.666666666667</v>
      </c>
      <c r="AK300" s="125">
        <v>0</v>
      </c>
      <c r="AL300" s="125">
        <f>Valores!$C$93</f>
        <v>0</v>
      </c>
      <c r="AM300" s="125">
        <f>AM299*2</f>
        <v>0</v>
      </c>
      <c r="AN300" s="125">
        <v>0</v>
      </c>
      <c r="AO300" s="125">
        <f t="shared" si="48"/>
        <v>4666.666666666667</v>
      </c>
      <c r="AP300" s="125">
        <f>AI300*Valores!$C$72</f>
        <v>-3759.2534100000003</v>
      </c>
      <c r="AQ300" s="125">
        <f>IF(AI300&lt;Valores!$E$73,-0.02,IF(AI300&lt;Valores!$F$73,-0.03,-0.04))*AI300</f>
        <v>-683.50062000000003</v>
      </c>
      <c r="AR300" s="125">
        <f>AI300*Valores!$C$75</f>
        <v>-1879.6267050000001</v>
      </c>
      <c r="AS300" s="125">
        <f>Valores!$C$102</f>
        <v>-1270.1600000000001</v>
      </c>
      <c r="AT300" s="125">
        <f>IF($F$5=0,Valores!$C$103,(Valores!$C$103+$F$5*(Valores!$C$103)))</f>
        <v>-3700</v>
      </c>
      <c r="AU300" s="125">
        <f t="shared" si="51"/>
        <v>27549.156931666668</v>
      </c>
      <c r="AV300" s="125">
        <f t="shared" si="45"/>
        <v>-3759.2534100000003</v>
      </c>
      <c r="AW300" s="125">
        <f t="shared" si="52"/>
        <v>-683.50062000000003</v>
      </c>
      <c r="AX300" s="125">
        <f>AI300*Valores!$C$76</f>
        <v>-922.72583700000007</v>
      </c>
      <c r="AY300" s="125">
        <f>AI300*Valores!$C$77</f>
        <v>-102.52509300000001</v>
      </c>
      <c r="AZ300" s="125">
        <f t="shared" si="49"/>
        <v>33373.692706666669</v>
      </c>
      <c r="BA300" s="125">
        <f>AI300*Valores!$C$79</f>
        <v>5468.0049600000002</v>
      </c>
      <c r="BB300" s="125">
        <f>AI300*Valores!$C$80</f>
        <v>2392.2521700000002</v>
      </c>
      <c r="BC300" s="125">
        <f>AI300*Valores!$C$81</f>
        <v>341.75031000000001</v>
      </c>
      <c r="BD300" s="125">
        <f>AI300*Valores!$C$83</f>
        <v>1196.1260850000001</v>
      </c>
      <c r="BE300" s="125">
        <f>AI300*Valores!$C$85</f>
        <v>1845.4516740000001</v>
      </c>
      <c r="BF300" s="125">
        <f>AI300*Valores!$C$84</f>
        <v>205.05018600000002</v>
      </c>
      <c r="BG300" s="126"/>
      <c r="BH300" s="126">
        <v>8</v>
      </c>
      <c r="BI300" s="123" t="s">
        <v>4</v>
      </c>
    </row>
    <row r="301" spans="1:1029" s="110" customFormat="1" ht="11.25" customHeight="1" x14ac:dyDescent="0.15">
      <c r="A301" s="123" t="s">
        <v>645</v>
      </c>
      <c r="B301" s="123">
        <v>1</v>
      </c>
      <c r="C301" s="126">
        <v>294</v>
      </c>
      <c r="D301" s="124" t="s">
        <v>646</v>
      </c>
      <c r="E301" s="194">
        <f>E300/2</f>
        <v>121.5</v>
      </c>
      <c r="F301" s="125">
        <f>ROUND(E301*Valores!$C$2,2)</f>
        <v>9428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6"/>
        <v>0</v>
      </c>
      <c r="O301" s="125">
        <v>0</v>
      </c>
      <c r="P301" s="125">
        <f>ROUND(IF(B301&lt;15,(Valores!$E$5*B301),Valores!$D$5),2)</f>
        <v>2644.5</v>
      </c>
      <c r="Q301" s="125">
        <v>0</v>
      </c>
      <c r="R301" s="125">
        <f>IF($F$4="NO",Valores!C52,Valores!C52/2)</f>
        <v>1030.3800000000001</v>
      </c>
      <c r="S301" s="125">
        <v>0</v>
      </c>
      <c r="T301" s="125">
        <f t="shared" si="56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Valores!$C$101</f>
        <v>2328.17</v>
      </c>
      <c r="AA301" s="125">
        <v>0</v>
      </c>
      <c r="AB301" s="214">
        <v>0</v>
      </c>
      <c r="AC301" s="125">
        <f t="shared" si="47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IF($F$4="NO",Valores!$C$66,Valores!$C$66/2)</f>
        <v>933.72</v>
      </c>
      <c r="AH301" s="125">
        <f>SUM(F301,H301,J301,L301,M301,N301,O301,P301,Q301,R301,T301,U301,V301,X301,Y301,Z301,AA301,AC301,AD301,AF301,AG301)*Valores!$C$104</f>
        <v>1636.4770000000001</v>
      </c>
      <c r="AI301" s="125">
        <f t="shared" si="50"/>
        <v>18001.246999999999</v>
      </c>
      <c r="AJ301" s="125">
        <f>Valores!C35</f>
        <v>2333.3333333333335</v>
      </c>
      <c r="AK301" s="125">
        <v>0</v>
      </c>
      <c r="AL301" s="125">
        <f>Valores!$C$94</f>
        <v>0</v>
      </c>
      <c r="AM301" s="125">
        <f>AM300/2</f>
        <v>0</v>
      </c>
      <c r="AN301" s="125">
        <v>0</v>
      </c>
      <c r="AO301" s="125">
        <f t="shared" si="48"/>
        <v>2333.3333333333335</v>
      </c>
      <c r="AP301" s="125">
        <f>AI301*Valores!$C$72</f>
        <v>-1980.13717</v>
      </c>
      <c r="AQ301" s="125">
        <f>IF(AI301&lt;Valores!$E$73,-0.02,IF(AI301&lt;Valores!$F$73,-0.03,-0.04))*AI301</f>
        <v>-360.02494000000002</v>
      </c>
      <c r="AR301" s="125">
        <f>AI301*Valores!$C$75</f>
        <v>-990.06858499999998</v>
      </c>
      <c r="AS301" s="125">
        <f>Valores!$C$102</f>
        <v>-1270.1600000000001</v>
      </c>
      <c r="AT301" s="125">
        <f>IF($F$5=0,Valores!$C$103,(Valores!$C$103+$F$5*(Valores!$C$103)))</f>
        <v>-3700</v>
      </c>
      <c r="AU301" s="125">
        <f t="shared" si="51"/>
        <v>12034.189638333333</v>
      </c>
      <c r="AV301" s="125">
        <f>AP301</f>
        <v>-1980.13717</v>
      </c>
      <c r="AW301" s="125">
        <f t="shared" si="52"/>
        <v>-360.02494000000002</v>
      </c>
      <c r="AX301" s="125">
        <f>AI301*Valores!$C$76</f>
        <v>-486.03366899999997</v>
      </c>
      <c r="AY301" s="125">
        <f>AI301*Valores!$C$77</f>
        <v>-54.003740999999998</v>
      </c>
      <c r="AZ301" s="125">
        <f t="shared" si="49"/>
        <v>17454.38081333333</v>
      </c>
      <c r="BA301" s="125">
        <f>AI301*Valores!$C$79</f>
        <v>2880.1995200000001</v>
      </c>
      <c r="BB301" s="125">
        <f>AI301*Valores!$C$80</f>
        <v>1260.0872900000002</v>
      </c>
      <c r="BC301" s="125">
        <f>AI301*Valores!$C$81</f>
        <v>180.01247000000001</v>
      </c>
      <c r="BD301" s="125">
        <f>AI301*Valores!$C$83</f>
        <v>630.04364500000008</v>
      </c>
      <c r="BE301" s="125">
        <f>AI301*Valores!$C$85</f>
        <v>972.06733799999995</v>
      </c>
      <c r="BF301" s="125">
        <f>AI301*Valores!$C$84</f>
        <v>108.007482</v>
      </c>
      <c r="BG301" s="126"/>
      <c r="BH301" s="126">
        <v>4</v>
      </c>
      <c r="BI301" s="123" t="s">
        <v>4</v>
      </c>
    </row>
    <row r="302" spans="1:1029" s="142" customFormat="1" ht="11.25" customHeight="1" x14ac:dyDescent="0.15">
      <c r="A302" s="140"/>
      <c r="B302" s="141">
        <v>1</v>
      </c>
      <c r="C302" s="126">
        <v>295</v>
      </c>
      <c r="D302" s="127" t="s">
        <v>471</v>
      </c>
      <c r="E302" s="194">
        <v>700</v>
      </c>
      <c r="F302" s="125">
        <f>ROUND(E302*Valores!$C$2,2)</f>
        <v>54317.69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18777.150000000001</v>
      </c>
      <c r="N302" s="125">
        <f t="shared" si="46"/>
        <v>0</v>
      </c>
      <c r="O302" s="125">
        <v>0</v>
      </c>
      <c r="P302" s="125">
        <v>0</v>
      </c>
      <c r="Q302" s="125">
        <v>0</v>
      </c>
      <c r="R302" s="125">
        <f>IF($F$4="NO",Valores!$C$50*15,Valores!$C$50*15/2)</f>
        <v>20790.899999999998</v>
      </c>
      <c r="S302" s="125">
        <v>0</v>
      </c>
      <c r="T302" s="125">
        <f t="shared" si="56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7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>SUM(F302,H302,J302,L302,M302,N302,O302,P302,Q302,R302,T302,U302,V302,X302,Y302,Z302,AA302,AC302,AD302,AF302,AG302)*Valores!$C$104</f>
        <v>9388.5739999999987</v>
      </c>
      <c r="AI302" s="125">
        <f t="shared" si="50"/>
        <v>103274.31399999998</v>
      </c>
      <c r="AJ302" s="125">
        <v>0</v>
      </c>
      <c r="AK302" s="125">
        <v>0</v>
      </c>
      <c r="AL302" s="125">
        <v>0</v>
      </c>
      <c r="AM302" s="125">
        <v>0</v>
      </c>
      <c r="AN302" s="125">
        <v>0</v>
      </c>
      <c r="AO302" s="125">
        <f t="shared" si="48"/>
        <v>0</v>
      </c>
      <c r="AP302" s="125">
        <f>AI302*Valores!$C$72</f>
        <v>-11360.174539999998</v>
      </c>
      <c r="AQ302" s="125">
        <f>IF(AI302&lt;Valores!$E$73,-0.02,IF(AI302&lt;Valores!$F$73,-0.03,-0.04))*AI302</f>
        <v>-2065.4862799999996</v>
      </c>
      <c r="AR302" s="125">
        <f>AI302*Valores!$C$75</f>
        <v>-5680.0872699999991</v>
      </c>
      <c r="AS302" s="125">
        <v>0</v>
      </c>
      <c r="AT302" s="125">
        <v>0</v>
      </c>
      <c r="AU302" s="125">
        <f t="shared" si="51"/>
        <v>84168.56590999999</v>
      </c>
      <c r="AV302" s="125">
        <f t="shared" si="45"/>
        <v>-11360.174539999998</v>
      </c>
      <c r="AW302" s="125">
        <f t="shared" si="52"/>
        <v>-2065.4862799999996</v>
      </c>
      <c r="AX302" s="125">
        <f>AI302*Valores!$C$76</f>
        <v>-2788.4064779999994</v>
      </c>
      <c r="AY302" s="125">
        <f>AI302*Valores!$C$77</f>
        <v>-309.82294199999995</v>
      </c>
      <c r="AZ302" s="125">
        <f t="shared" si="49"/>
        <v>86750.423759999991</v>
      </c>
      <c r="BA302" s="125">
        <f>AI302*Valores!$C$79</f>
        <v>16523.890239999997</v>
      </c>
      <c r="BB302" s="125">
        <f>AI302*Valores!$C$80</f>
        <v>7229.2019799999998</v>
      </c>
      <c r="BC302" s="125">
        <f>AI302*Valores!$C$81</f>
        <v>1032.7431399999998</v>
      </c>
      <c r="BD302" s="125">
        <f>AI302*Valores!$C$83</f>
        <v>3614.6009899999999</v>
      </c>
      <c r="BE302" s="125">
        <f>AI302*Valores!$C$85</f>
        <v>5576.8129559999988</v>
      </c>
      <c r="BF302" s="125">
        <f>AI302*Valores!$C$84</f>
        <v>619.64588399999991</v>
      </c>
      <c r="BG302" s="126"/>
      <c r="BH302" s="126"/>
      <c r="BI302" s="123" t="s">
        <v>4</v>
      </c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  <c r="AMG302" s="110"/>
      <c r="AMH302" s="110"/>
      <c r="AMI302" s="110"/>
      <c r="AMJ302" s="110"/>
      <c r="AMK302" s="110"/>
      <c r="AML302" s="110"/>
      <c r="AMM302" s="110"/>
      <c r="AMN302" s="110"/>
      <c r="AMO302" s="110"/>
    </row>
    <row r="303" spans="1:1029" s="142" customFormat="1" ht="11.25" customHeight="1" x14ac:dyDescent="0.15">
      <c r="A303" s="126"/>
      <c r="B303" s="141">
        <v>1</v>
      </c>
      <c r="C303" s="126">
        <v>296</v>
      </c>
      <c r="D303" s="127" t="s">
        <v>472</v>
      </c>
      <c r="E303" s="194">
        <v>500</v>
      </c>
      <c r="F303" s="125">
        <f>ROUND(E303*Valores!$C$2,2)</f>
        <v>38798.35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13164.74</v>
      </c>
      <c r="N303" s="125">
        <f t="shared" si="46"/>
        <v>0</v>
      </c>
      <c r="O303" s="125">
        <v>0</v>
      </c>
      <c r="P303" s="125">
        <v>0</v>
      </c>
      <c r="Q303" s="125">
        <v>0</v>
      </c>
      <c r="R303" s="125">
        <f>IF($F$4="NO",Valores!$C$50*10,Valores!$C$50*10/2)</f>
        <v>13860.599999999999</v>
      </c>
      <c r="S303" s="125">
        <v>0</v>
      </c>
      <c r="T303" s="125">
        <f t="shared" si="56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7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>SUM(F303,H303,J303,L303,M303,N303,O303,P303,Q303,R303,T303,U303,V303,X303,Y303,Z303,AA303,AC303,AD303,AF303,AG303)*Valores!$C$104</f>
        <v>6582.3690000000006</v>
      </c>
      <c r="AI303" s="125">
        <f t="shared" si="50"/>
        <v>72406.059000000008</v>
      </c>
      <c r="AJ303" s="125">
        <v>0</v>
      </c>
      <c r="AK303" s="125">
        <v>0</v>
      </c>
      <c r="AL303" s="125">
        <v>0</v>
      </c>
      <c r="AM303" s="125">
        <v>0</v>
      </c>
      <c r="AN303" s="125">
        <v>0</v>
      </c>
      <c r="AO303" s="125">
        <f t="shared" si="48"/>
        <v>0</v>
      </c>
      <c r="AP303" s="125">
        <f>AI303*Valores!$C$72</f>
        <v>-7964.6664900000005</v>
      </c>
      <c r="AQ303" s="125">
        <f>IF(AI303&lt;Valores!$E$73,-0.02,IF(AI303&lt;Valores!$F$73,-0.03,-0.04))*AI303</f>
        <v>-1448.1211800000001</v>
      </c>
      <c r="AR303" s="125">
        <f>AI303*Valores!$C$75</f>
        <v>-3982.3332450000003</v>
      </c>
      <c r="AS303" s="125">
        <v>0</v>
      </c>
      <c r="AT303" s="125">
        <v>0</v>
      </c>
      <c r="AU303" s="125">
        <f t="shared" si="51"/>
        <v>59010.938085000009</v>
      </c>
      <c r="AV303" s="125">
        <f t="shared" si="45"/>
        <v>-7964.6664900000005</v>
      </c>
      <c r="AW303" s="125">
        <f t="shared" si="52"/>
        <v>-1448.1211800000001</v>
      </c>
      <c r="AX303" s="125">
        <f>AI303*Valores!$C$76</f>
        <v>-1954.9635930000002</v>
      </c>
      <c r="AY303" s="125">
        <f>AI303*Valores!$C$77</f>
        <v>-217.21817700000003</v>
      </c>
      <c r="AZ303" s="125">
        <f t="shared" si="49"/>
        <v>60821.089560000008</v>
      </c>
      <c r="BA303" s="125">
        <f>AI303*Valores!$C$79</f>
        <v>11584.969440000001</v>
      </c>
      <c r="BB303" s="125">
        <f>AI303*Valores!$C$80</f>
        <v>5068.4241300000012</v>
      </c>
      <c r="BC303" s="125">
        <f>AI303*Valores!$C$81</f>
        <v>724.06059000000005</v>
      </c>
      <c r="BD303" s="125">
        <f>AI303*Valores!$C$83</f>
        <v>2534.2120650000006</v>
      </c>
      <c r="BE303" s="125">
        <f>AI303*Valores!$C$85</f>
        <v>3909.9271860000003</v>
      </c>
      <c r="BF303" s="125">
        <f>AI303*Valores!$C$84</f>
        <v>434.43635400000005</v>
      </c>
      <c r="BG303" s="126"/>
      <c r="BH303" s="126"/>
      <c r="BI303" s="123" t="s">
        <v>4</v>
      </c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  <c r="AMG303" s="110"/>
      <c r="AMH303" s="110"/>
      <c r="AMI303" s="110"/>
      <c r="AMJ303" s="110"/>
      <c r="AMK303" s="110"/>
      <c r="AML303" s="110"/>
      <c r="AMM303" s="110"/>
      <c r="AMN303" s="110"/>
      <c r="AMO303" s="110"/>
    </row>
    <row r="304" spans="1:1029" s="142" customFormat="1" ht="11.25" customHeight="1" x14ac:dyDescent="0.15">
      <c r="A304" s="123"/>
      <c r="B304" s="141">
        <v>1</v>
      </c>
      <c r="C304" s="126">
        <v>297</v>
      </c>
      <c r="D304" s="127" t="s">
        <v>473</v>
      </c>
      <c r="E304" s="194">
        <v>300</v>
      </c>
      <c r="F304" s="125">
        <f>ROUND(E304*Valores!$C$2,2)</f>
        <v>23279.01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7552.33</v>
      </c>
      <c r="N304" s="125">
        <f t="shared" si="46"/>
        <v>0</v>
      </c>
      <c r="O304" s="125">
        <v>0</v>
      </c>
      <c r="P304" s="125">
        <v>0</v>
      </c>
      <c r="Q304" s="125">
        <v>0</v>
      </c>
      <c r="R304" s="125">
        <f>IF($F$4="NO",Valores!$C$50*5,Valores!$C$50*5/2)</f>
        <v>6930.2999999999993</v>
      </c>
      <c r="S304" s="125">
        <v>0</v>
      </c>
      <c r="T304" s="125">
        <f t="shared" si="56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7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>SUM(F304,H304,J304,L304,M304,N304,O304,P304,Q304,R304,T304,U304,V304,X304,Y304,Z304,AA304,AC304,AD304,AF304,AG304)*Valores!$C$104</f>
        <v>3776.1640000000002</v>
      </c>
      <c r="AI304" s="125">
        <f t="shared" si="50"/>
        <v>41537.803999999996</v>
      </c>
      <c r="AJ304" s="125">
        <v>0</v>
      </c>
      <c r="AK304" s="125">
        <v>0</v>
      </c>
      <c r="AL304" s="125">
        <v>0</v>
      </c>
      <c r="AM304" s="125">
        <v>0</v>
      </c>
      <c r="AN304" s="125">
        <v>0</v>
      </c>
      <c r="AO304" s="125">
        <f t="shared" si="48"/>
        <v>0</v>
      </c>
      <c r="AP304" s="125">
        <f>AI304*Valores!$C$72</f>
        <v>-4569.1584399999992</v>
      </c>
      <c r="AQ304" s="125">
        <f>IF(AI304&lt;Valores!$E$73,-0.02,IF(AI304&lt;Valores!$F$73,-0.03,-0.04))*AI304</f>
        <v>-830.75608</v>
      </c>
      <c r="AR304" s="125">
        <f>AI304*Valores!$C$75</f>
        <v>-2284.5792199999996</v>
      </c>
      <c r="AS304" s="125">
        <v>0</v>
      </c>
      <c r="AT304" s="125">
        <v>0</v>
      </c>
      <c r="AU304" s="125">
        <f t="shared" si="51"/>
        <v>33853.310259999998</v>
      </c>
      <c r="AV304" s="125">
        <f t="shared" si="45"/>
        <v>-4569.1584399999992</v>
      </c>
      <c r="AW304" s="125">
        <f t="shared" si="52"/>
        <v>-830.75608</v>
      </c>
      <c r="AX304" s="125">
        <f>AI304*Valores!$C$76</f>
        <v>-1121.5207079999998</v>
      </c>
      <c r="AY304" s="125">
        <f>AI304*Valores!$C$77</f>
        <v>-124.613412</v>
      </c>
      <c r="AZ304" s="125">
        <f t="shared" si="49"/>
        <v>34891.755359999996</v>
      </c>
      <c r="BA304" s="125">
        <f>AI304*Valores!$C$79</f>
        <v>6646.04864</v>
      </c>
      <c r="BB304" s="125">
        <f>AI304*Valores!$C$80</f>
        <v>2907.6462799999999</v>
      </c>
      <c r="BC304" s="125">
        <f>AI304*Valores!$C$81</f>
        <v>415.37804</v>
      </c>
      <c r="BD304" s="125">
        <f>AI304*Valores!$C$83</f>
        <v>1453.82314</v>
      </c>
      <c r="BE304" s="125">
        <f>AI304*Valores!$C$85</f>
        <v>2243.0414159999996</v>
      </c>
      <c r="BF304" s="125">
        <f>AI304*Valores!$C$84</f>
        <v>249.22682399999999</v>
      </c>
      <c r="BG304" s="126"/>
      <c r="BH304" s="126"/>
      <c r="BI304" s="123" t="s">
        <v>4</v>
      </c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  <c r="AMG304" s="110"/>
      <c r="AMH304" s="110"/>
      <c r="AMI304" s="110"/>
      <c r="AMJ304" s="110"/>
      <c r="AMK304" s="110"/>
      <c r="AML304" s="110"/>
      <c r="AMM304" s="110"/>
      <c r="AMN304" s="110"/>
      <c r="AMO304" s="110"/>
    </row>
    <row r="305" spans="1:1029" s="142" customFormat="1" ht="11.25" customHeight="1" x14ac:dyDescent="0.15">
      <c r="A305" s="126"/>
      <c r="B305" s="141">
        <v>1</v>
      </c>
      <c r="C305" s="126">
        <v>298</v>
      </c>
      <c r="D305" s="127" t="s">
        <v>474</v>
      </c>
      <c r="E305" s="194">
        <v>155</v>
      </c>
      <c r="F305" s="125">
        <f>ROUND(E305*Valores!$C$2,2)</f>
        <v>12027.49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3353.39</v>
      </c>
      <c r="N305" s="125">
        <f t="shared" si="46"/>
        <v>0</v>
      </c>
      <c r="O305" s="125">
        <v>0</v>
      </c>
      <c r="P305" s="125">
        <v>0</v>
      </c>
      <c r="Q305" s="125">
        <v>0</v>
      </c>
      <c r="R305" s="125">
        <f>IF($F$4="NO",IF(Valores!$C$50*B305&gt;Valores!$C$47,Valores!$C$47,Valores!$C$50*B305),IF(Valores!$C$50*B305&gt;Valores!$C$47,Valores!$C$47,Valores!$C$50*B305)/2)</f>
        <v>1386.06</v>
      </c>
      <c r="S305" s="125">
        <v>0</v>
      </c>
      <c r="T305" s="125">
        <f t="shared" si="56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7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>SUM(F305,H305,J305,L305,M305,N305,O305,P305,Q305,R305,T305,U305,V305,X305,Y305,Z305,AA305,AC305,AD305,AF305,AG305)*Valores!$C$104</f>
        <v>1676.694</v>
      </c>
      <c r="AI305" s="125">
        <f t="shared" si="50"/>
        <v>18443.633999999998</v>
      </c>
      <c r="AJ305" s="125">
        <v>0</v>
      </c>
      <c r="AK305" s="125">
        <v>0</v>
      </c>
      <c r="AL305" s="125">
        <v>0</v>
      </c>
      <c r="AM305" s="125">
        <v>0</v>
      </c>
      <c r="AN305" s="125">
        <v>0</v>
      </c>
      <c r="AO305" s="125">
        <f t="shared" si="48"/>
        <v>0</v>
      </c>
      <c r="AP305" s="125">
        <f>AI305*Valores!$C$72</f>
        <v>-2028.7997399999997</v>
      </c>
      <c r="AQ305" s="125">
        <f>IF(AI305&lt;Valores!$E$73,-0.02,IF(AI305&lt;Valores!$F$73,-0.03,-0.04))*AI305</f>
        <v>-368.87267999999995</v>
      </c>
      <c r="AR305" s="125">
        <f>AI305*Valores!$C$75</f>
        <v>-1014.3998699999999</v>
      </c>
      <c r="AS305" s="125">
        <v>0</v>
      </c>
      <c r="AT305" s="125">
        <v>0</v>
      </c>
      <c r="AU305" s="125">
        <f t="shared" si="51"/>
        <v>15031.561709999998</v>
      </c>
      <c r="AV305" s="125">
        <f t="shared" si="45"/>
        <v>-2028.7997399999997</v>
      </c>
      <c r="AW305" s="125">
        <f t="shared" si="52"/>
        <v>-368.87267999999995</v>
      </c>
      <c r="AX305" s="125">
        <f>AI305*Valores!$C$76</f>
        <v>-497.97811799999994</v>
      </c>
      <c r="AY305" s="125">
        <f>AI305*Valores!$C$77</f>
        <v>-55.330901999999995</v>
      </c>
      <c r="AZ305" s="125">
        <f t="shared" si="49"/>
        <v>15492.652559999999</v>
      </c>
      <c r="BA305" s="125">
        <f>AI305*Valores!$C$79</f>
        <v>2950.9814399999996</v>
      </c>
      <c r="BB305" s="125">
        <f>AI305*Valores!$C$80</f>
        <v>1291.05438</v>
      </c>
      <c r="BC305" s="125">
        <f>AI305*Valores!$C$81</f>
        <v>184.43633999999997</v>
      </c>
      <c r="BD305" s="125">
        <f>AI305*Valores!$C$83</f>
        <v>645.52719000000002</v>
      </c>
      <c r="BE305" s="125">
        <f>AI305*Valores!$C$85</f>
        <v>995.95623599999988</v>
      </c>
      <c r="BF305" s="125">
        <f>AI305*Valores!$C$84</f>
        <v>110.66180399999999</v>
      </c>
      <c r="BG305" s="126"/>
      <c r="BH305" s="126"/>
      <c r="BI305" s="123" t="s">
        <v>4</v>
      </c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  <c r="AMG305" s="110"/>
      <c r="AMH305" s="110"/>
      <c r="AMI305" s="110"/>
      <c r="AMJ305" s="110"/>
      <c r="AMK305" s="110"/>
      <c r="AML305" s="110"/>
      <c r="AMM305" s="110"/>
      <c r="AMN305" s="110"/>
      <c r="AMO305" s="110"/>
    </row>
    <row r="306" spans="1:1029" s="142" customFormat="1" ht="11.25" customHeight="1" x14ac:dyDescent="0.15">
      <c r="A306" s="123"/>
      <c r="B306" s="141">
        <v>2</v>
      </c>
      <c r="C306" s="126">
        <v>299</v>
      </c>
      <c r="D306" s="127" t="s">
        <v>475</v>
      </c>
      <c r="E306" s="194">
        <f t="shared" ref="E306:E320" si="57">155+E305</f>
        <v>310</v>
      </c>
      <c r="F306" s="125">
        <f>ROUND(E306*Valores!$C$2,2)</f>
        <v>24054.98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6706.78</v>
      </c>
      <c r="N306" s="125">
        <f t="shared" si="46"/>
        <v>0</v>
      </c>
      <c r="O306" s="125">
        <v>0</v>
      </c>
      <c r="P306" s="125">
        <v>0</v>
      </c>
      <c r="Q306" s="125">
        <v>0</v>
      </c>
      <c r="R306" s="125">
        <f>IF($F$4="NO",IF(Valores!$C$50*B306&gt;Valores!$C$47,Valores!$C$47,Valores!$C$50*B306),IF(Valores!$C$50*B306&gt;Valores!$C$47,Valores!$C$47,Valores!$C$50*B306)/2)</f>
        <v>2772.12</v>
      </c>
      <c r="S306" s="125">
        <v>0</v>
      </c>
      <c r="T306" s="125">
        <f t="shared" si="56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7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>SUM(F306,H306,J306,L306,M306,N306,O306,P306,Q306,R306,T306,U306,V306,X306,Y306,Z306,AA306,AC306,AD306,AF306,AG306)*Valores!$C$104</f>
        <v>3353.3879999999999</v>
      </c>
      <c r="AI306" s="125">
        <f t="shared" si="50"/>
        <v>36887.267999999996</v>
      </c>
      <c r="AJ306" s="125">
        <v>0</v>
      </c>
      <c r="AK306" s="125">
        <v>0</v>
      </c>
      <c r="AL306" s="125">
        <v>0</v>
      </c>
      <c r="AM306" s="125">
        <v>0</v>
      </c>
      <c r="AN306" s="125">
        <v>0</v>
      </c>
      <c r="AO306" s="125">
        <f t="shared" si="48"/>
        <v>0</v>
      </c>
      <c r="AP306" s="125">
        <f>AI306*Valores!$C$72</f>
        <v>-4057.5994799999994</v>
      </c>
      <c r="AQ306" s="125">
        <f>IF(AI306&lt;Valores!$E$73,-0.02,IF(AI306&lt;Valores!$F$73,-0.03,-0.04))*AI306</f>
        <v>-737.74535999999989</v>
      </c>
      <c r="AR306" s="125">
        <f>AI306*Valores!$C$75</f>
        <v>-2028.7997399999997</v>
      </c>
      <c r="AS306" s="125">
        <v>0</v>
      </c>
      <c r="AT306" s="125">
        <v>0</v>
      </c>
      <c r="AU306" s="125">
        <f t="shared" si="51"/>
        <v>30063.123419999996</v>
      </c>
      <c r="AV306" s="125">
        <f t="shared" si="45"/>
        <v>-4057.5994799999994</v>
      </c>
      <c r="AW306" s="125">
        <f t="shared" si="52"/>
        <v>-737.74535999999989</v>
      </c>
      <c r="AX306" s="125">
        <f>AI306*Valores!$C$76</f>
        <v>-995.95623599999988</v>
      </c>
      <c r="AY306" s="125">
        <f>AI306*Valores!$C$77</f>
        <v>-110.66180399999999</v>
      </c>
      <c r="AZ306" s="125">
        <f t="shared" si="49"/>
        <v>30985.305119999997</v>
      </c>
      <c r="BA306" s="125">
        <f>AI306*Valores!$C$79</f>
        <v>5901.9628799999991</v>
      </c>
      <c r="BB306" s="125">
        <f>AI306*Valores!$C$80</f>
        <v>2582.1087600000001</v>
      </c>
      <c r="BC306" s="125">
        <f>AI306*Valores!$C$81</f>
        <v>368.87267999999995</v>
      </c>
      <c r="BD306" s="125">
        <f>AI306*Valores!$C$83</f>
        <v>1291.05438</v>
      </c>
      <c r="BE306" s="125">
        <f>AI306*Valores!$C$85</f>
        <v>1991.9124719999998</v>
      </c>
      <c r="BF306" s="125">
        <f>AI306*Valores!$C$84</f>
        <v>221.32360799999998</v>
      </c>
      <c r="BG306" s="126"/>
      <c r="BH306" s="126"/>
      <c r="BI306" s="123" t="s">
        <v>4</v>
      </c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  <c r="AMG306" s="110"/>
      <c r="AMH306" s="110"/>
      <c r="AMI306" s="110"/>
      <c r="AMJ306" s="110"/>
      <c r="AMK306" s="110"/>
      <c r="AML306" s="110"/>
      <c r="AMM306" s="110"/>
      <c r="AMN306" s="110"/>
      <c r="AMO306" s="110"/>
    </row>
    <row r="307" spans="1:1029" s="142" customFormat="1" ht="11.25" customHeight="1" x14ac:dyDescent="0.15">
      <c r="A307" s="123"/>
      <c r="B307" s="141">
        <v>3</v>
      </c>
      <c r="C307" s="126">
        <v>300</v>
      </c>
      <c r="D307" s="127" t="s">
        <v>476</v>
      </c>
      <c r="E307" s="194">
        <f t="shared" si="57"/>
        <v>465</v>
      </c>
      <c r="F307" s="125">
        <f>ROUND(E307*Valores!$C$2,2)</f>
        <v>36082.47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10060.16</v>
      </c>
      <c r="N307" s="125">
        <f t="shared" si="46"/>
        <v>0</v>
      </c>
      <c r="O307" s="125">
        <v>0</v>
      </c>
      <c r="P307" s="125">
        <v>0</v>
      </c>
      <c r="Q307" s="125">
        <v>0</v>
      </c>
      <c r="R307" s="125">
        <f>IF($F$4="NO",IF(Valores!$C$50*B307&gt;Valores!$C$47,Valores!$C$47,Valores!$C$50*B307),IF(Valores!$C$50*B307&gt;Valores!$C$47,Valores!$C$47,Valores!$C$50*B307)/2)</f>
        <v>4158.18</v>
      </c>
      <c r="S307" s="125">
        <v>0</v>
      </c>
      <c r="T307" s="125">
        <f t="shared" si="56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7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>SUM(F307,H307,J307,L307,M307,N307,O307,P307,Q307,R307,T307,U307,V307,X307,Y307,Z307,AA307,AC307,AD307,AF307,AG307)*Valores!$C$104</f>
        <v>5030.081000000001</v>
      </c>
      <c r="AI307" s="125">
        <f t="shared" si="50"/>
        <v>55330.891000000003</v>
      </c>
      <c r="AJ307" s="125">
        <v>0</v>
      </c>
      <c r="AK307" s="125">
        <v>0</v>
      </c>
      <c r="AL307" s="125">
        <v>0</v>
      </c>
      <c r="AM307" s="125">
        <v>0</v>
      </c>
      <c r="AN307" s="125">
        <v>0</v>
      </c>
      <c r="AO307" s="125">
        <f t="shared" si="48"/>
        <v>0</v>
      </c>
      <c r="AP307" s="125">
        <f>AI307*Valores!$C$72</f>
        <v>-6086.3980100000008</v>
      </c>
      <c r="AQ307" s="125">
        <f>IF(AI307&lt;Valores!$E$73,-0.02,IF(AI307&lt;Valores!$F$73,-0.03,-0.04))*AI307</f>
        <v>-1106.6178200000002</v>
      </c>
      <c r="AR307" s="125">
        <f>AI307*Valores!$C$75</f>
        <v>-3043.1990050000004</v>
      </c>
      <c r="AS307" s="125">
        <v>0</v>
      </c>
      <c r="AT307" s="125">
        <v>0</v>
      </c>
      <c r="AU307" s="125">
        <f t="shared" si="51"/>
        <v>45094.676164999997</v>
      </c>
      <c r="AV307" s="125">
        <f t="shared" si="45"/>
        <v>-6086.3980100000008</v>
      </c>
      <c r="AW307" s="125">
        <f t="shared" si="52"/>
        <v>-1106.6178200000002</v>
      </c>
      <c r="AX307" s="125">
        <f>AI307*Valores!$C$76</f>
        <v>-1493.9340570000002</v>
      </c>
      <c r="AY307" s="125">
        <f>AI307*Valores!$C$77</f>
        <v>-165.99267300000002</v>
      </c>
      <c r="AZ307" s="125">
        <f t="shared" si="49"/>
        <v>46477.94844</v>
      </c>
      <c r="BA307" s="125">
        <f>AI307*Valores!$C$79</f>
        <v>8852.9425600000013</v>
      </c>
      <c r="BB307" s="125">
        <f>AI307*Valores!$C$80</f>
        <v>3873.1623700000005</v>
      </c>
      <c r="BC307" s="125">
        <f>AI307*Valores!$C$81</f>
        <v>553.30891000000008</v>
      </c>
      <c r="BD307" s="125">
        <f>AI307*Valores!$C$83</f>
        <v>1936.5811850000002</v>
      </c>
      <c r="BE307" s="125">
        <f>AI307*Valores!$C$85</f>
        <v>2987.8681140000003</v>
      </c>
      <c r="BF307" s="125">
        <f>AI307*Valores!$C$84</f>
        <v>331.98534600000005</v>
      </c>
      <c r="BG307" s="126"/>
      <c r="BH307" s="126"/>
      <c r="BI307" s="123" t="s">
        <v>4</v>
      </c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  <c r="AMG307" s="110"/>
      <c r="AMH307" s="110"/>
      <c r="AMI307" s="110"/>
      <c r="AMJ307" s="110"/>
      <c r="AMK307" s="110"/>
      <c r="AML307" s="110"/>
      <c r="AMM307" s="110"/>
      <c r="AMN307" s="110"/>
      <c r="AMO307" s="110"/>
    </row>
    <row r="308" spans="1:1029" s="142" customFormat="1" ht="11.25" customHeight="1" x14ac:dyDescent="0.15">
      <c r="A308" s="123"/>
      <c r="B308" s="141">
        <v>4</v>
      </c>
      <c r="C308" s="126">
        <v>301</v>
      </c>
      <c r="D308" s="127" t="s">
        <v>477</v>
      </c>
      <c r="E308" s="194">
        <f t="shared" si="57"/>
        <v>620</v>
      </c>
      <c r="F308" s="125">
        <f>ROUND(E308*Valores!$C$2,2)</f>
        <v>48109.95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13413.55</v>
      </c>
      <c r="N308" s="125">
        <f t="shared" si="46"/>
        <v>0</v>
      </c>
      <c r="O308" s="125">
        <v>0</v>
      </c>
      <c r="P308" s="125">
        <v>0</v>
      </c>
      <c r="Q308" s="125">
        <v>0</v>
      </c>
      <c r="R308" s="125">
        <f>IF($F$4="NO",IF(Valores!$C$50*B308&gt;Valores!$C$47,Valores!$C$47,Valores!$C$50*B308),IF(Valores!$C$50*B308&gt;Valores!$C$47,Valores!$C$47,Valores!$C$50*B308)/2)</f>
        <v>5544.24</v>
      </c>
      <c r="S308" s="125">
        <v>0</v>
      </c>
      <c r="T308" s="125">
        <f t="shared" si="56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7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>SUM(F308,H308,J308,L308,M308,N308,O308,P308,Q308,R308,T308,U308,V308,X308,Y308,Z308,AA308,AC308,AD308,AF308,AG308)*Valores!$C$104</f>
        <v>6706.7740000000013</v>
      </c>
      <c r="AI308" s="125">
        <f t="shared" si="50"/>
        <v>73774.51400000001</v>
      </c>
      <c r="AJ308" s="125">
        <v>0</v>
      </c>
      <c r="AK308" s="125">
        <v>0</v>
      </c>
      <c r="AL308" s="125">
        <v>0</v>
      </c>
      <c r="AM308" s="125">
        <v>0</v>
      </c>
      <c r="AN308" s="125">
        <v>0</v>
      </c>
      <c r="AO308" s="125">
        <f t="shared" si="48"/>
        <v>0</v>
      </c>
      <c r="AP308" s="125">
        <f>AI308*Valores!$C$72</f>
        <v>-8115.1965400000008</v>
      </c>
      <c r="AQ308" s="125">
        <f>IF(AI308&lt;Valores!$E$73,-0.02,IF(AI308&lt;Valores!$F$73,-0.03,-0.04))*AI308</f>
        <v>-1475.4902800000002</v>
      </c>
      <c r="AR308" s="125">
        <f>AI308*Valores!$C$75</f>
        <v>-4057.5982700000004</v>
      </c>
      <c r="AS308" s="125">
        <v>0</v>
      </c>
      <c r="AT308" s="125">
        <v>0</v>
      </c>
      <c r="AU308" s="125">
        <f t="shared" si="51"/>
        <v>60126.228910000005</v>
      </c>
      <c r="AV308" s="125">
        <f t="shared" si="45"/>
        <v>-8115.1965400000008</v>
      </c>
      <c r="AW308" s="125">
        <f t="shared" si="52"/>
        <v>-1475.4902800000002</v>
      </c>
      <c r="AX308" s="125">
        <f>AI308*Valores!$C$76</f>
        <v>-1991.9118780000003</v>
      </c>
      <c r="AY308" s="125">
        <f>AI308*Valores!$C$77</f>
        <v>-221.32354200000003</v>
      </c>
      <c r="AZ308" s="125">
        <f t="shared" si="49"/>
        <v>61970.59176000001</v>
      </c>
      <c r="BA308" s="125">
        <f>AI308*Valores!$C$79</f>
        <v>11803.922240000002</v>
      </c>
      <c r="BB308" s="125">
        <f>AI308*Valores!$C$80</f>
        <v>5164.2159800000009</v>
      </c>
      <c r="BC308" s="125">
        <f>AI308*Valores!$C$81</f>
        <v>737.74514000000011</v>
      </c>
      <c r="BD308" s="125">
        <f>AI308*Valores!$C$83</f>
        <v>2582.1079900000004</v>
      </c>
      <c r="BE308" s="125">
        <f>AI308*Valores!$C$85</f>
        <v>3983.8237560000007</v>
      </c>
      <c r="BF308" s="125">
        <f>AI308*Valores!$C$84</f>
        <v>442.64708400000006</v>
      </c>
      <c r="BG308" s="126"/>
      <c r="BH308" s="126"/>
      <c r="BI308" s="123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  <c r="AMG308" s="110"/>
      <c r="AMH308" s="110"/>
      <c r="AMI308" s="110"/>
      <c r="AMJ308" s="110"/>
      <c r="AMK308" s="110"/>
      <c r="AML308" s="110"/>
      <c r="AMM308" s="110"/>
      <c r="AMN308" s="110"/>
      <c r="AMO308" s="110"/>
    </row>
    <row r="309" spans="1:1029" s="142" customFormat="1" ht="11.25" customHeight="1" x14ac:dyDescent="0.15">
      <c r="A309" s="123"/>
      <c r="B309" s="141">
        <v>5</v>
      </c>
      <c r="C309" s="126">
        <v>302</v>
      </c>
      <c r="D309" s="127" t="s">
        <v>478</v>
      </c>
      <c r="E309" s="194">
        <f t="shared" si="57"/>
        <v>775</v>
      </c>
      <c r="F309" s="125">
        <f>ROUND(E309*Valores!$C$2,2)</f>
        <v>60137.440000000002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16766.939999999999</v>
      </c>
      <c r="N309" s="125">
        <f t="shared" si="46"/>
        <v>0</v>
      </c>
      <c r="O309" s="125">
        <v>0</v>
      </c>
      <c r="P309" s="125">
        <v>0</v>
      </c>
      <c r="Q309" s="125">
        <v>0</v>
      </c>
      <c r="R309" s="125">
        <f>IF($F$4="NO",IF(Valores!$C$50*B309&gt;Valores!$C$47,Valores!$C$47,Valores!$C$50*B309),IF(Valores!$C$50*B309&gt;Valores!$C$47,Valores!$C$47,Valores!$C$50*B309)/2)</f>
        <v>6930.2999999999993</v>
      </c>
      <c r="S309" s="125">
        <v>0</v>
      </c>
      <c r="T309" s="125">
        <f t="shared" si="56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7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>SUM(F309,H309,J309,L309,M309,N309,O309,P309,Q309,R309,T309,U309,V309,X309,Y309,Z309,AA309,AC309,AD309,AF309,AG309)*Valores!$C$104</f>
        <v>8383.4680000000008</v>
      </c>
      <c r="AI309" s="125">
        <f t="shared" si="50"/>
        <v>92218.148000000016</v>
      </c>
      <c r="AJ309" s="125">
        <v>0</v>
      </c>
      <c r="AK309" s="125">
        <v>0</v>
      </c>
      <c r="AL309" s="125">
        <v>0</v>
      </c>
      <c r="AM309" s="125">
        <v>0</v>
      </c>
      <c r="AN309" s="125">
        <v>0</v>
      </c>
      <c r="AO309" s="125">
        <f t="shared" si="48"/>
        <v>0</v>
      </c>
      <c r="AP309" s="125">
        <f>AI309*Valores!$C$72</f>
        <v>-10143.996280000001</v>
      </c>
      <c r="AQ309" s="125">
        <f>IF(AI309&lt;Valores!$E$73,-0.02,IF(AI309&lt;Valores!$F$73,-0.03,-0.04))*AI309</f>
        <v>-1844.3629600000004</v>
      </c>
      <c r="AR309" s="125">
        <f>AI309*Valores!$C$75</f>
        <v>-5071.9981400000006</v>
      </c>
      <c r="AS309" s="125">
        <v>0</v>
      </c>
      <c r="AT309" s="125">
        <v>0</v>
      </c>
      <c r="AU309" s="125">
        <f t="shared" si="51"/>
        <v>75157.790620000014</v>
      </c>
      <c r="AV309" s="125">
        <f t="shared" si="45"/>
        <v>-10143.996280000001</v>
      </c>
      <c r="AW309" s="125">
        <f t="shared" si="52"/>
        <v>-1844.3629600000004</v>
      </c>
      <c r="AX309" s="125">
        <f>AI309*Valores!$C$76</f>
        <v>-2489.8899960000003</v>
      </c>
      <c r="AY309" s="125">
        <f>AI309*Valores!$C$77</f>
        <v>-276.65444400000007</v>
      </c>
      <c r="AZ309" s="125">
        <f t="shared" si="49"/>
        <v>77463.244320000013</v>
      </c>
      <c r="BA309" s="125">
        <f>AI309*Valores!$C$79</f>
        <v>14754.903680000003</v>
      </c>
      <c r="BB309" s="125">
        <f>AI309*Valores!$C$80</f>
        <v>6455.2703600000013</v>
      </c>
      <c r="BC309" s="125">
        <f>AI309*Valores!$C$81</f>
        <v>922.18148000000019</v>
      </c>
      <c r="BD309" s="125">
        <f>AI309*Valores!$C$83</f>
        <v>3227.6351800000007</v>
      </c>
      <c r="BE309" s="125">
        <f>AI309*Valores!$C$85</f>
        <v>4979.7799920000007</v>
      </c>
      <c r="BF309" s="125">
        <f>AI309*Valores!$C$84</f>
        <v>553.30888800000014</v>
      </c>
      <c r="BG309" s="126"/>
      <c r="BH309" s="126"/>
      <c r="BI309" s="123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  <c r="AMG309" s="110"/>
      <c r="AMH309" s="110"/>
      <c r="AMI309" s="110"/>
      <c r="AMJ309" s="110"/>
      <c r="AMK309" s="110"/>
      <c r="AML309" s="110"/>
      <c r="AMM309" s="110"/>
      <c r="AMN309" s="110"/>
      <c r="AMO309" s="110"/>
    </row>
    <row r="310" spans="1:1029" s="142" customFormat="1" ht="11.25" customHeight="1" x14ac:dyDescent="0.15">
      <c r="A310" s="123"/>
      <c r="B310" s="141">
        <v>6</v>
      </c>
      <c r="C310" s="126">
        <v>303</v>
      </c>
      <c r="D310" s="127" t="s">
        <v>479</v>
      </c>
      <c r="E310" s="194">
        <f t="shared" si="57"/>
        <v>930</v>
      </c>
      <c r="F310" s="125">
        <f>ROUND(E310*Valores!$C$2,2)</f>
        <v>72164.929999999993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20120.32</v>
      </c>
      <c r="N310" s="125">
        <f t="shared" si="46"/>
        <v>0</v>
      </c>
      <c r="O310" s="125">
        <v>0</v>
      </c>
      <c r="P310" s="125">
        <v>0</v>
      </c>
      <c r="Q310" s="125">
        <v>0</v>
      </c>
      <c r="R310" s="125">
        <f>IF($F$4="NO",IF(Valores!$C$50*B310&gt;Valores!$C$47,Valores!$C$47,Valores!$C$50*B310),IF(Valores!$C$50*B310&gt;Valores!$C$47,Valores!$C$47,Valores!$C$50*B310)/2)</f>
        <v>8316.36</v>
      </c>
      <c r="S310" s="125">
        <v>0</v>
      </c>
      <c r="T310" s="125">
        <f t="shared" si="56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7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>SUM(F310,H310,J310,L310,M310,N310,O310,P310,Q310,R310,T310,U310,V310,X310,Y310,Z310,AA310,AC310,AD310,AF310,AG310)*Valores!$C$104</f>
        <v>10060.161</v>
      </c>
      <c r="AI310" s="125">
        <f t="shared" si="50"/>
        <v>110661.77100000001</v>
      </c>
      <c r="AJ310" s="125">
        <v>0</v>
      </c>
      <c r="AK310" s="125">
        <v>0</v>
      </c>
      <c r="AL310" s="125">
        <v>0</v>
      </c>
      <c r="AM310" s="125">
        <v>0</v>
      </c>
      <c r="AN310" s="125">
        <v>0</v>
      </c>
      <c r="AO310" s="125">
        <f t="shared" si="48"/>
        <v>0</v>
      </c>
      <c r="AP310" s="125">
        <f>AI310*Valores!$C$72</f>
        <v>-12172.794810000001</v>
      </c>
      <c r="AQ310" s="125">
        <f>IF(AI310&lt;Valores!$E$73,-0.02,IF(AI310&lt;Valores!$F$73,-0.03,-0.04))*AI310</f>
        <v>-2213.2354200000004</v>
      </c>
      <c r="AR310" s="125">
        <f>AI310*Valores!$C$75</f>
        <v>-6086.3974050000006</v>
      </c>
      <c r="AS310" s="125">
        <v>0</v>
      </c>
      <c r="AT310" s="125">
        <v>0</v>
      </c>
      <c r="AU310" s="125">
        <f t="shared" si="51"/>
        <v>90189.343365000008</v>
      </c>
      <c r="AV310" s="125">
        <f t="shared" si="45"/>
        <v>-12172.794810000001</v>
      </c>
      <c r="AW310" s="125">
        <f t="shared" si="52"/>
        <v>-2213.2354200000004</v>
      </c>
      <c r="AX310" s="125">
        <f>AI310*Valores!$C$76</f>
        <v>-2987.8678170000003</v>
      </c>
      <c r="AY310" s="125">
        <f>AI310*Valores!$C$77</f>
        <v>-331.98531300000002</v>
      </c>
      <c r="AZ310" s="125">
        <f t="shared" si="49"/>
        <v>92955.887640000001</v>
      </c>
      <c r="BA310" s="125">
        <f>AI310*Valores!$C$79</f>
        <v>17705.883360000003</v>
      </c>
      <c r="BB310" s="125">
        <f>AI310*Valores!$C$80</f>
        <v>7746.3239700000013</v>
      </c>
      <c r="BC310" s="125">
        <f>AI310*Valores!$C$81</f>
        <v>1106.6177100000002</v>
      </c>
      <c r="BD310" s="125">
        <f>AI310*Valores!$C$83</f>
        <v>3873.1619850000006</v>
      </c>
      <c r="BE310" s="125">
        <f>AI310*Valores!$C$85</f>
        <v>5975.7356340000006</v>
      </c>
      <c r="BF310" s="125">
        <f>AI310*Valores!$C$84</f>
        <v>663.97062600000004</v>
      </c>
      <c r="BG310" s="126"/>
      <c r="BH310" s="126"/>
      <c r="BI310" s="123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  <c r="AMG310" s="110"/>
      <c r="AMH310" s="110"/>
      <c r="AMI310" s="110"/>
      <c r="AMJ310" s="110"/>
      <c r="AMK310" s="110"/>
      <c r="AML310" s="110"/>
      <c r="AMM310" s="110"/>
      <c r="AMN310" s="110"/>
      <c r="AMO310" s="110"/>
    </row>
    <row r="311" spans="1:1029" s="142" customFormat="1" ht="11.25" customHeight="1" x14ac:dyDescent="0.15">
      <c r="A311" s="123"/>
      <c r="B311" s="141">
        <v>7</v>
      </c>
      <c r="C311" s="126">
        <v>304</v>
      </c>
      <c r="D311" s="127" t="s">
        <v>480</v>
      </c>
      <c r="E311" s="194">
        <f t="shared" si="57"/>
        <v>1085</v>
      </c>
      <c r="F311" s="125">
        <f>ROUND(E311*Valores!$C$2,2)</f>
        <v>84192.42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23473.71</v>
      </c>
      <c r="N311" s="125">
        <f t="shared" si="46"/>
        <v>0</v>
      </c>
      <c r="O311" s="125">
        <v>0</v>
      </c>
      <c r="P311" s="125">
        <v>0</v>
      </c>
      <c r="Q311" s="125">
        <v>0</v>
      </c>
      <c r="R311" s="125">
        <f>IF($F$4="NO",IF(Valores!$C$50*B311&gt;Valores!$C$47,Valores!$C$47,Valores!$C$50*B311),IF(Valores!$C$50*B311&gt;Valores!$C$47,Valores!$C$47,Valores!$C$50*B311)/2)</f>
        <v>9702.42</v>
      </c>
      <c r="S311" s="125">
        <v>0</v>
      </c>
      <c r="T311" s="125">
        <f t="shared" si="56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7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>SUM(F311,H311,J311,L311,M311,N311,O311,P311,Q311,R311,T311,U311,V311,X311,Y311,Z311,AA311,AC311,AD311,AF311,AG311)*Valores!$C$104</f>
        <v>11736.855000000001</v>
      </c>
      <c r="AI311" s="125">
        <f t="shared" si="50"/>
        <v>129105.405</v>
      </c>
      <c r="AJ311" s="125">
        <v>0</v>
      </c>
      <c r="AK311" s="125">
        <v>0</v>
      </c>
      <c r="AL311" s="125">
        <v>0</v>
      </c>
      <c r="AM311" s="125">
        <v>0</v>
      </c>
      <c r="AN311" s="125">
        <v>0</v>
      </c>
      <c r="AO311" s="125">
        <f t="shared" si="48"/>
        <v>0</v>
      </c>
      <c r="AP311" s="125">
        <f>AI311*Valores!$C$72</f>
        <v>-14201.59455</v>
      </c>
      <c r="AQ311" s="125">
        <f>IF(AI311&lt;Valores!$E$73,-0.02,IF(AI311&lt;Valores!$F$73,-0.03,-0.04))*AI311</f>
        <v>-2582.1080999999999</v>
      </c>
      <c r="AR311" s="125">
        <f>AI311*Valores!$C$75</f>
        <v>-7100.7972749999999</v>
      </c>
      <c r="AS311" s="125">
        <v>0</v>
      </c>
      <c r="AT311" s="125">
        <v>0</v>
      </c>
      <c r="AU311" s="125">
        <f t="shared" si="51"/>
        <v>105220.905075</v>
      </c>
      <c r="AV311" s="125">
        <f t="shared" si="45"/>
        <v>-14201.59455</v>
      </c>
      <c r="AW311" s="125">
        <f t="shared" si="52"/>
        <v>-2582.1080999999999</v>
      </c>
      <c r="AX311" s="125">
        <f>AI311*Valores!$C$76</f>
        <v>-3485.8459349999998</v>
      </c>
      <c r="AY311" s="125">
        <f>AI311*Valores!$C$77</f>
        <v>-387.316215</v>
      </c>
      <c r="AZ311" s="125">
        <f t="shared" si="49"/>
        <v>108448.5402</v>
      </c>
      <c r="BA311" s="125">
        <f>AI311*Valores!$C$79</f>
        <v>20656.864799999999</v>
      </c>
      <c r="BB311" s="125">
        <f>AI311*Valores!$C$80</f>
        <v>9037.3783500000009</v>
      </c>
      <c r="BC311" s="125">
        <f>AI311*Valores!$C$81</f>
        <v>1291.05405</v>
      </c>
      <c r="BD311" s="125">
        <f>AI311*Valores!$C$83</f>
        <v>4518.6891750000004</v>
      </c>
      <c r="BE311" s="125">
        <f>AI311*Valores!$C$85</f>
        <v>6971.6918699999997</v>
      </c>
      <c r="BF311" s="125">
        <f>AI311*Valores!$C$84</f>
        <v>774.63243</v>
      </c>
      <c r="BG311" s="126"/>
      <c r="BH311" s="126"/>
      <c r="BI311" s="123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  <c r="AMG311" s="110"/>
      <c r="AMH311" s="110"/>
      <c r="AMI311" s="110"/>
      <c r="AMJ311" s="110"/>
      <c r="AMK311" s="110"/>
      <c r="AML311" s="110"/>
      <c r="AMM311" s="110"/>
      <c r="AMN311" s="110"/>
      <c r="AMO311" s="110"/>
    </row>
    <row r="312" spans="1:1029" s="142" customFormat="1" ht="11.25" customHeight="1" x14ac:dyDescent="0.15">
      <c r="A312" s="123"/>
      <c r="B312" s="141">
        <v>8</v>
      </c>
      <c r="C312" s="126">
        <v>305</v>
      </c>
      <c r="D312" s="127" t="s">
        <v>481</v>
      </c>
      <c r="E312" s="194">
        <f t="shared" si="57"/>
        <v>1240</v>
      </c>
      <c r="F312" s="125">
        <f>ROUND(E312*Valores!$C$2,2)</f>
        <v>96219.91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26827.1</v>
      </c>
      <c r="N312" s="125">
        <f t="shared" si="46"/>
        <v>0</v>
      </c>
      <c r="O312" s="125">
        <v>0</v>
      </c>
      <c r="P312" s="125">
        <v>0</v>
      </c>
      <c r="Q312" s="125">
        <v>0</v>
      </c>
      <c r="R312" s="125">
        <f>IF($F$4="NO",IF(Valores!$C$50*B312&gt;Valores!$C$47,Valores!$C$47,Valores!$C$50*B312),IF(Valores!$C$50*B312&gt;Valores!$C$47,Valores!$C$47,Valores!$C$50*B312)/2)</f>
        <v>11088.48</v>
      </c>
      <c r="S312" s="125">
        <v>0</v>
      </c>
      <c r="T312" s="125">
        <f t="shared" si="56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7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>SUM(F312,H312,J312,L312,M312,N312,O312,P312,Q312,R312,T312,U312,V312,X312,Y312,Z312,AA312,AC312,AD312,AF312,AG312)*Valores!$C$104</f>
        <v>13413.549000000003</v>
      </c>
      <c r="AI312" s="125">
        <f t="shared" si="50"/>
        <v>147549.03900000002</v>
      </c>
      <c r="AJ312" s="125">
        <v>0</v>
      </c>
      <c r="AK312" s="125">
        <v>0</v>
      </c>
      <c r="AL312" s="125">
        <v>0</v>
      </c>
      <c r="AM312" s="125">
        <v>0</v>
      </c>
      <c r="AN312" s="125">
        <v>0</v>
      </c>
      <c r="AO312" s="125">
        <f t="shared" si="48"/>
        <v>0</v>
      </c>
      <c r="AP312" s="125">
        <f>AI312*Valores!$C$72</f>
        <v>-16230.394290000002</v>
      </c>
      <c r="AQ312" s="125">
        <f>IF(AI312&lt;Valores!$E$73,-0.02,IF(AI312&lt;Valores!$F$73,-0.03,-0.04))*AI312</f>
        <v>-2950.9807800000003</v>
      </c>
      <c r="AR312" s="125">
        <f>AI312*Valores!$C$75</f>
        <v>-8115.197145000001</v>
      </c>
      <c r="AS312" s="125">
        <v>0</v>
      </c>
      <c r="AT312" s="125">
        <v>0</v>
      </c>
      <c r="AU312" s="125">
        <f t="shared" si="51"/>
        <v>120252.46678500001</v>
      </c>
      <c r="AV312" s="125">
        <f t="shared" si="45"/>
        <v>-16230.394290000002</v>
      </c>
      <c r="AW312" s="125">
        <f t="shared" si="52"/>
        <v>-2950.9807800000003</v>
      </c>
      <c r="AX312" s="125">
        <f>AI312*Valores!$C$76</f>
        <v>-3983.8240530000003</v>
      </c>
      <c r="AY312" s="125">
        <f>AI312*Valores!$C$77</f>
        <v>-442.64711700000009</v>
      </c>
      <c r="AZ312" s="125">
        <f t="shared" si="49"/>
        <v>123941.19276000002</v>
      </c>
      <c r="BA312" s="125">
        <f>AI312*Valores!$C$79</f>
        <v>23607.846240000003</v>
      </c>
      <c r="BB312" s="125">
        <f>AI312*Valores!$C$80</f>
        <v>10328.432730000002</v>
      </c>
      <c r="BC312" s="125">
        <f>AI312*Valores!$C$81</f>
        <v>1475.4903900000002</v>
      </c>
      <c r="BD312" s="125">
        <f>AI312*Valores!$C$83</f>
        <v>5164.2163650000011</v>
      </c>
      <c r="BE312" s="125">
        <f>AI312*Valores!$C$85</f>
        <v>7967.6481060000006</v>
      </c>
      <c r="BF312" s="125">
        <f>AI312*Valores!$C$84</f>
        <v>885.29423400000019</v>
      </c>
      <c r="BG312" s="126"/>
      <c r="BH312" s="126"/>
      <c r="BI312" s="123" t="s">
        <v>4</v>
      </c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  <c r="AMG312" s="110"/>
      <c r="AMH312" s="110"/>
      <c r="AMI312" s="110"/>
      <c r="AMJ312" s="110"/>
      <c r="AMK312" s="110"/>
      <c r="AML312" s="110"/>
      <c r="AMM312" s="110"/>
      <c r="AMN312" s="110"/>
      <c r="AMO312" s="110"/>
    </row>
    <row r="313" spans="1:1029" s="142" customFormat="1" ht="11.25" customHeight="1" x14ac:dyDescent="0.15">
      <c r="A313" s="123"/>
      <c r="B313" s="141">
        <v>9</v>
      </c>
      <c r="C313" s="126">
        <v>306</v>
      </c>
      <c r="D313" s="127" t="s">
        <v>482</v>
      </c>
      <c r="E313" s="194">
        <f t="shared" si="57"/>
        <v>1395</v>
      </c>
      <c r="F313" s="125">
        <f>ROUND(E313*Valores!$C$2,2)</f>
        <v>108247.4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30180.49</v>
      </c>
      <c r="N313" s="125">
        <f t="shared" si="46"/>
        <v>0</v>
      </c>
      <c r="O313" s="125">
        <v>0</v>
      </c>
      <c r="P313" s="125">
        <v>0</v>
      </c>
      <c r="Q313" s="125">
        <v>0</v>
      </c>
      <c r="R313" s="125">
        <f>IF($F$4="NO",IF(Valores!$C$50*B313&gt;Valores!$C$47,Valores!$C$47,Valores!$C$50*B313),IF(Valores!$C$50*B313&gt;Valores!$C$47,Valores!$C$47,Valores!$C$50*B313)/2)</f>
        <v>12474.539999999999</v>
      </c>
      <c r="S313" s="125">
        <v>0</v>
      </c>
      <c r="T313" s="125">
        <f t="shared" si="56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7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>SUM(F313,H313,J313,L313,M313,N313,O313,P313,Q313,R313,T313,U313,V313,X313,Y313,Z313,AA313,AC313,AD313,AF313,AG313)*Valores!$C$104</f>
        <v>15090.243</v>
      </c>
      <c r="AI313" s="125">
        <f t="shared" si="50"/>
        <v>165992.67299999998</v>
      </c>
      <c r="AJ313" s="125">
        <v>0</v>
      </c>
      <c r="AK313" s="125">
        <v>0</v>
      </c>
      <c r="AL313" s="125">
        <v>0</v>
      </c>
      <c r="AM313" s="125">
        <v>0</v>
      </c>
      <c r="AN313" s="125">
        <v>0</v>
      </c>
      <c r="AO313" s="125">
        <f t="shared" si="48"/>
        <v>0</v>
      </c>
      <c r="AP313" s="125">
        <f>AI313*Valores!$C$72</f>
        <v>-18259.194029999999</v>
      </c>
      <c r="AQ313" s="125">
        <f>IF(AI313&lt;Valores!$E$73,-0.02,IF(AI313&lt;Valores!$F$73,-0.03,-0.04))*AI313</f>
        <v>-3319.8534599999998</v>
      </c>
      <c r="AR313" s="125">
        <f>AI313*Valores!$C$75</f>
        <v>-9129.5970149999994</v>
      </c>
      <c r="AS313" s="125">
        <v>0</v>
      </c>
      <c r="AT313" s="125">
        <v>0</v>
      </c>
      <c r="AU313" s="125">
        <f t="shared" si="51"/>
        <v>135284.02849499998</v>
      </c>
      <c r="AV313" s="125">
        <f t="shared" si="45"/>
        <v>-18259.194029999999</v>
      </c>
      <c r="AW313" s="125">
        <f t="shared" si="52"/>
        <v>-3319.8534599999998</v>
      </c>
      <c r="AX313" s="125">
        <f>AI313*Valores!$C$76</f>
        <v>-4481.8021709999994</v>
      </c>
      <c r="AY313" s="125">
        <f>AI313*Valores!$C$77</f>
        <v>-497.97801899999996</v>
      </c>
      <c r="AZ313" s="125">
        <f t="shared" si="49"/>
        <v>139433.84531999999</v>
      </c>
      <c r="BA313" s="125">
        <f>AI313*Valores!$C$79</f>
        <v>26558.827679999999</v>
      </c>
      <c r="BB313" s="125">
        <f>AI313*Valores!$C$80</f>
        <v>11619.48711</v>
      </c>
      <c r="BC313" s="125">
        <f>AI313*Valores!$C$81</f>
        <v>1659.9267299999999</v>
      </c>
      <c r="BD313" s="125">
        <f>AI313*Valores!$C$83</f>
        <v>5809.743555</v>
      </c>
      <c r="BE313" s="125">
        <f>AI313*Valores!$C$85</f>
        <v>8963.6043419999987</v>
      </c>
      <c r="BF313" s="125">
        <f>AI313*Valores!$C$84</f>
        <v>995.95603799999992</v>
      </c>
      <c r="BG313" s="126"/>
      <c r="BH313" s="126"/>
      <c r="BI313" s="123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  <c r="AMG313" s="110"/>
      <c r="AMH313" s="110"/>
      <c r="AMI313" s="110"/>
      <c r="AMJ313" s="110"/>
      <c r="AMK313" s="110"/>
      <c r="AML313" s="110"/>
      <c r="AMM313" s="110"/>
      <c r="AMN313" s="110"/>
      <c r="AMO313" s="110"/>
    </row>
    <row r="314" spans="1:1029" s="142" customFormat="1" ht="11.25" customHeight="1" x14ac:dyDescent="0.15">
      <c r="A314" s="123"/>
      <c r="B314" s="141">
        <v>10</v>
      </c>
      <c r="C314" s="126">
        <v>307</v>
      </c>
      <c r="D314" s="127" t="s">
        <v>483</v>
      </c>
      <c r="E314" s="194">
        <f t="shared" si="57"/>
        <v>1550</v>
      </c>
      <c r="F314" s="125">
        <f>ROUND(E314*Valores!$C$2,2)</f>
        <v>120274.89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33533.870000000003</v>
      </c>
      <c r="N314" s="125">
        <f t="shared" si="46"/>
        <v>0</v>
      </c>
      <c r="O314" s="125">
        <v>0</v>
      </c>
      <c r="P314" s="125">
        <v>0</v>
      </c>
      <c r="Q314" s="125">
        <v>0</v>
      </c>
      <c r="R314" s="125">
        <f>IF($F$4="NO",IF(Valores!$C$50*B314&gt;Valores!$C$47,Valores!$C$47,Valores!$C$50*B314),IF(Valores!$C$50*B314&gt;Valores!$C$47,Valores!$C$47,Valores!$C$50*B314)/2)</f>
        <v>13860.599999999999</v>
      </c>
      <c r="S314" s="125">
        <v>0</v>
      </c>
      <c r="T314" s="125">
        <f t="shared" si="56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7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>SUM(F314,H314,J314,L314,M314,N314,O314,P314,Q314,R314,T314,U314,V314,X314,Y314,Z314,AA314,AC314,AD314,AF314,AG314)*Valores!$C$104</f>
        <v>16766.936000000002</v>
      </c>
      <c r="AI314" s="125">
        <f t="shared" si="50"/>
        <v>184436.29600000003</v>
      </c>
      <c r="AJ314" s="125">
        <v>0</v>
      </c>
      <c r="AK314" s="125">
        <v>0</v>
      </c>
      <c r="AL314" s="125">
        <v>0</v>
      </c>
      <c r="AM314" s="125">
        <v>0</v>
      </c>
      <c r="AN314" s="125">
        <v>0</v>
      </c>
      <c r="AO314" s="125">
        <f t="shared" si="48"/>
        <v>0</v>
      </c>
      <c r="AP314" s="125">
        <f>AI314*Valores!$C$72</f>
        <v>-20287.992560000002</v>
      </c>
      <c r="AQ314" s="125">
        <f>IF(AI314&lt;Valores!$E$73,-0.02,IF(AI314&lt;Valores!$F$73,-0.03,-0.04))*AI314</f>
        <v>-3688.7259200000008</v>
      </c>
      <c r="AR314" s="125">
        <f>AI314*Valores!$C$75</f>
        <v>-10143.996280000001</v>
      </c>
      <c r="AS314" s="125">
        <v>0</v>
      </c>
      <c r="AT314" s="125">
        <v>0</v>
      </c>
      <c r="AU314" s="125">
        <f t="shared" si="51"/>
        <v>150315.58124000003</v>
      </c>
      <c r="AV314" s="125">
        <f t="shared" si="45"/>
        <v>-20287.992560000002</v>
      </c>
      <c r="AW314" s="125">
        <f t="shared" si="52"/>
        <v>-3688.7259200000008</v>
      </c>
      <c r="AX314" s="125">
        <f>AI314*Valores!$C$76</f>
        <v>-4979.7799920000007</v>
      </c>
      <c r="AY314" s="125">
        <f>AI314*Valores!$C$77</f>
        <v>-553.30888800000014</v>
      </c>
      <c r="AZ314" s="125">
        <f t="shared" si="49"/>
        <v>154926.48864000003</v>
      </c>
      <c r="BA314" s="125">
        <f>AI314*Valores!$C$79</f>
        <v>29509.807360000006</v>
      </c>
      <c r="BB314" s="125">
        <f>AI314*Valores!$C$80</f>
        <v>12910.540720000003</v>
      </c>
      <c r="BC314" s="125">
        <f>AI314*Valores!$C$81</f>
        <v>1844.3629600000004</v>
      </c>
      <c r="BD314" s="125">
        <f>AI314*Valores!$C$83</f>
        <v>6455.2703600000013</v>
      </c>
      <c r="BE314" s="125">
        <f>AI314*Valores!$C$85</f>
        <v>9959.5599840000014</v>
      </c>
      <c r="BF314" s="125">
        <f>AI314*Valores!$C$84</f>
        <v>1106.6177760000003</v>
      </c>
      <c r="BG314" s="126"/>
      <c r="BH314" s="126"/>
      <c r="BI314" s="123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  <c r="AMG314" s="110"/>
      <c r="AMH314" s="110"/>
      <c r="AMI314" s="110"/>
      <c r="AMJ314" s="110"/>
      <c r="AMK314" s="110"/>
      <c r="AML314" s="110"/>
      <c r="AMM314" s="110"/>
      <c r="AMN314" s="110"/>
      <c r="AMO314" s="110"/>
    </row>
    <row r="315" spans="1:1029" s="142" customFormat="1" ht="11.25" customHeight="1" x14ac:dyDescent="0.15">
      <c r="A315" s="123"/>
      <c r="B315" s="141">
        <v>11</v>
      </c>
      <c r="C315" s="126">
        <v>308</v>
      </c>
      <c r="D315" s="127" t="s">
        <v>484</v>
      </c>
      <c r="E315" s="194">
        <f t="shared" si="57"/>
        <v>1705</v>
      </c>
      <c r="F315" s="125">
        <f>ROUND(E315*Valores!$C$2,2)</f>
        <v>132302.37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36887.26</v>
      </c>
      <c r="N315" s="125">
        <f t="shared" si="46"/>
        <v>0</v>
      </c>
      <c r="O315" s="125">
        <v>0</v>
      </c>
      <c r="P315" s="125">
        <v>0</v>
      </c>
      <c r="Q315" s="125">
        <v>0</v>
      </c>
      <c r="R315" s="125">
        <f>IF($F$4="NO",IF(Valores!$C$50*B315&gt;Valores!$C$47,Valores!$C$47,Valores!$C$50*B315),IF(Valores!$C$50*B315&gt;Valores!$C$47,Valores!$C$47,Valores!$C$50*B315)/2)</f>
        <v>15246.66</v>
      </c>
      <c r="S315" s="125">
        <v>0</v>
      </c>
      <c r="T315" s="125">
        <f t="shared" si="56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7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>SUM(F315,H315,J315,L315,M315,N315,O315,P315,Q315,R315,T315,U315,V315,X315,Y315,Z315,AA315,AC315,AD315,AF315,AG315)*Valores!$C$104</f>
        <v>18443.629000000001</v>
      </c>
      <c r="AI315" s="125">
        <f t="shared" si="50"/>
        <v>202879.91899999999</v>
      </c>
      <c r="AJ315" s="125">
        <v>0</v>
      </c>
      <c r="AK315" s="125">
        <v>0</v>
      </c>
      <c r="AL315" s="125">
        <v>0</v>
      </c>
      <c r="AM315" s="125">
        <v>0</v>
      </c>
      <c r="AN315" s="125">
        <v>0</v>
      </c>
      <c r="AO315" s="125">
        <f t="shared" si="48"/>
        <v>0</v>
      </c>
      <c r="AP315" s="125">
        <f>AI315*Valores!$C$72</f>
        <v>-22316.791089999999</v>
      </c>
      <c r="AQ315" s="125">
        <f>IF(AI315&lt;Valores!$E$73,-0.02,IF(AI315&lt;Valores!$F$73,-0.03,-0.04))*AI315</f>
        <v>-4057.5983799999999</v>
      </c>
      <c r="AR315" s="125">
        <f>AI315*Valores!$C$75</f>
        <v>-11158.395544999999</v>
      </c>
      <c r="AS315" s="125">
        <v>0</v>
      </c>
      <c r="AT315" s="125">
        <v>0</v>
      </c>
      <c r="AU315" s="125">
        <f t="shared" si="51"/>
        <v>165347.13398499999</v>
      </c>
      <c r="AV315" s="125">
        <f t="shared" si="45"/>
        <v>-22316.791089999999</v>
      </c>
      <c r="AW315" s="125">
        <f t="shared" si="52"/>
        <v>-4057.5983799999999</v>
      </c>
      <c r="AX315" s="125">
        <f>AI315*Valores!$C$76</f>
        <v>-5477.7578130000002</v>
      </c>
      <c r="AY315" s="125">
        <f>AI315*Valores!$C$77</f>
        <v>-608.63975700000003</v>
      </c>
      <c r="AZ315" s="125">
        <f t="shared" si="49"/>
        <v>170419.13196</v>
      </c>
      <c r="BA315" s="125">
        <f>AI315*Valores!$C$79</f>
        <v>32460.787039999999</v>
      </c>
      <c r="BB315" s="125">
        <f>AI315*Valores!$C$80</f>
        <v>14201.594330000002</v>
      </c>
      <c r="BC315" s="125">
        <f>AI315*Valores!$C$81</f>
        <v>2028.79919</v>
      </c>
      <c r="BD315" s="125">
        <f>AI315*Valores!$C$83</f>
        <v>7100.7971650000009</v>
      </c>
      <c r="BE315" s="125">
        <f>AI315*Valores!$C$85</f>
        <v>10955.515626</v>
      </c>
      <c r="BF315" s="125">
        <f>AI315*Valores!$C$84</f>
        <v>1217.2795140000001</v>
      </c>
      <c r="BG315" s="126"/>
      <c r="BH315" s="126"/>
      <c r="BI315" s="123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  <c r="AMG315" s="110"/>
      <c r="AMH315" s="110"/>
      <c r="AMI315" s="110"/>
      <c r="AMJ315" s="110"/>
      <c r="AMK315" s="110"/>
      <c r="AML315" s="110"/>
      <c r="AMM315" s="110"/>
      <c r="AMN315" s="110"/>
      <c r="AMO315" s="110"/>
    </row>
    <row r="316" spans="1:1029" s="142" customFormat="1" ht="11.25" customHeight="1" x14ac:dyDescent="0.15">
      <c r="A316" s="123"/>
      <c r="B316" s="141">
        <v>12</v>
      </c>
      <c r="C316" s="126">
        <v>309</v>
      </c>
      <c r="D316" s="127" t="s">
        <v>485</v>
      </c>
      <c r="E316" s="194">
        <f t="shared" si="57"/>
        <v>1860</v>
      </c>
      <c r="F316" s="125">
        <f>ROUND(E316*Valores!$C$2,2)</f>
        <v>144329.85999999999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40240.65</v>
      </c>
      <c r="N316" s="125">
        <f t="shared" si="46"/>
        <v>0</v>
      </c>
      <c r="O316" s="125">
        <v>0</v>
      </c>
      <c r="P316" s="125">
        <v>0</v>
      </c>
      <c r="Q316" s="125">
        <v>0</v>
      </c>
      <c r="R316" s="125">
        <f>IF($F$4="NO",IF(Valores!$C$50*B316&gt;Valores!$C$47,Valores!$C$47,Valores!$C$50*B316),IF(Valores!$C$50*B316&gt;Valores!$C$47,Valores!$C$47,Valores!$C$50*B316)/2)</f>
        <v>16632.72</v>
      </c>
      <c r="S316" s="125">
        <v>0</v>
      </c>
      <c r="T316" s="125">
        <f t="shared" si="56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7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>SUM(F316,H316,J316,L316,M316,N316,O316,P316,Q316,R316,T316,U316,V316,X316,Y316,Z316,AA316,AC316,AD316,AF316,AG316)*Valores!$C$104</f>
        <v>20120.323</v>
      </c>
      <c r="AI316" s="125">
        <f t="shared" si="50"/>
        <v>221323.55299999999</v>
      </c>
      <c r="AJ316" s="125">
        <v>0</v>
      </c>
      <c r="AK316" s="125">
        <v>0</v>
      </c>
      <c r="AL316" s="125">
        <v>0</v>
      </c>
      <c r="AM316" s="125">
        <v>0</v>
      </c>
      <c r="AN316" s="125">
        <v>0</v>
      </c>
      <c r="AO316" s="125">
        <f t="shared" si="48"/>
        <v>0</v>
      </c>
      <c r="AP316" s="125">
        <f>AI316*Valores!$C$72</f>
        <v>-24345.590829999997</v>
      </c>
      <c r="AQ316" s="125">
        <f>IF(AI316&lt;Valores!$E$73,-0.02,IF(AI316&lt;Valores!$F$73,-0.03,-0.04))*AI316</f>
        <v>-4426.4710599999999</v>
      </c>
      <c r="AR316" s="125">
        <f>AI316*Valores!$C$75</f>
        <v>-12172.795414999999</v>
      </c>
      <c r="AS316" s="125">
        <v>0</v>
      </c>
      <c r="AT316" s="125">
        <v>0</v>
      </c>
      <c r="AU316" s="125">
        <f t="shared" si="51"/>
        <v>180378.695695</v>
      </c>
      <c r="AV316" s="125">
        <f t="shared" si="45"/>
        <v>-24345.590829999997</v>
      </c>
      <c r="AW316" s="125">
        <f t="shared" si="52"/>
        <v>-4426.4710599999999</v>
      </c>
      <c r="AX316" s="125">
        <f>AI316*Valores!$C$76</f>
        <v>-5975.7359309999993</v>
      </c>
      <c r="AY316" s="125">
        <f>AI316*Valores!$C$77</f>
        <v>-663.97065899999996</v>
      </c>
      <c r="AZ316" s="125">
        <f t="shared" si="49"/>
        <v>185911.78451999999</v>
      </c>
      <c r="BA316" s="125">
        <f>AI316*Valores!$C$79</f>
        <v>35411.768479999999</v>
      </c>
      <c r="BB316" s="125">
        <f>AI316*Valores!$C$80</f>
        <v>15492.648710000001</v>
      </c>
      <c r="BC316" s="125">
        <f>AI316*Valores!$C$81</f>
        <v>2213.2355299999999</v>
      </c>
      <c r="BD316" s="125">
        <f>AI316*Valores!$C$83</f>
        <v>7746.3243550000007</v>
      </c>
      <c r="BE316" s="125">
        <f>AI316*Valores!$C$85</f>
        <v>11951.471861999999</v>
      </c>
      <c r="BF316" s="125">
        <f>AI316*Valores!$C$84</f>
        <v>1327.9413179999999</v>
      </c>
      <c r="BG316" s="126"/>
      <c r="BH316" s="126"/>
      <c r="BI316" s="123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  <c r="AMG316" s="110"/>
      <c r="AMH316" s="110"/>
      <c r="AMI316" s="110"/>
      <c r="AMJ316" s="110"/>
      <c r="AMK316" s="110"/>
      <c r="AML316" s="110"/>
      <c r="AMM316" s="110"/>
      <c r="AMN316" s="110"/>
      <c r="AMO316" s="110"/>
    </row>
    <row r="317" spans="1:1029" s="142" customFormat="1" ht="11.25" customHeight="1" x14ac:dyDescent="0.15">
      <c r="A317" s="123"/>
      <c r="B317" s="141">
        <v>13</v>
      </c>
      <c r="C317" s="126">
        <v>310</v>
      </c>
      <c r="D317" s="127" t="s">
        <v>486</v>
      </c>
      <c r="E317" s="194">
        <f t="shared" si="57"/>
        <v>2015</v>
      </c>
      <c r="F317" s="125">
        <f>ROUND(E317*Valores!$C$2,2)</f>
        <v>156357.35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43594.03</v>
      </c>
      <c r="N317" s="125">
        <f t="shared" si="46"/>
        <v>0</v>
      </c>
      <c r="O317" s="125">
        <v>0</v>
      </c>
      <c r="P317" s="125">
        <v>0</v>
      </c>
      <c r="Q317" s="125">
        <v>0</v>
      </c>
      <c r="R317" s="125">
        <f>IF($F$4="NO",IF(Valores!$C$50*B317&gt;Valores!$C$47,Valores!$C$47,Valores!$C$50*B317),IF(Valores!$C$50*B317&gt;Valores!$C$47,Valores!$C$47,Valores!$C$50*B317)/2)</f>
        <v>18018.78</v>
      </c>
      <c r="S317" s="125">
        <v>0</v>
      </c>
      <c r="T317" s="125">
        <f t="shared" si="56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7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>SUM(F317,H317,J317,L317,M317,N317,O317,P317,Q317,R317,T317,U317,V317,X317,Y317,Z317,AA317,AC317,AD317,AF317,AG317)*Valores!$C$104</f>
        <v>21797.016000000003</v>
      </c>
      <c r="AI317" s="125">
        <f t="shared" si="50"/>
        <v>239767.17600000001</v>
      </c>
      <c r="AJ317" s="125">
        <v>0</v>
      </c>
      <c r="AK317" s="125">
        <v>0</v>
      </c>
      <c r="AL317" s="125">
        <v>0</v>
      </c>
      <c r="AM317" s="125">
        <v>0</v>
      </c>
      <c r="AN317" s="125">
        <v>0</v>
      </c>
      <c r="AO317" s="125">
        <f t="shared" si="48"/>
        <v>0</v>
      </c>
      <c r="AP317" s="125">
        <f>AI317*Valores!$C$72</f>
        <v>-26374.389360000001</v>
      </c>
      <c r="AQ317" s="125">
        <f>IF(AI317&lt;Valores!$E$73,-0.02,IF(AI317&lt;Valores!$F$73,-0.03,-0.04))*AI317</f>
        <v>-4795.3435200000004</v>
      </c>
      <c r="AR317" s="125">
        <f>AI317*Valores!$C$75</f>
        <v>-13187.194680000001</v>
      </c>
      <c r="AS317" s="125">
        <v>0</v>
      </c>
      <c r="AT317" s="125">
        <v>0</v>
      </c>
      <c r="AU317" s="125">
        <f t="shared" si="51"/>
        <v>195410.24844</v>
      </c>
      <c r="AV317" s="125">
        <f t="shared" si="45"/>
        <v>-26374.389360000001</v>
      </c>
      <c r="AW317" s="125">
        <f t="shared" si="52"/>
        <v>-4795.3435200000004</v>
      </c>
      <c r="AX317" s="125">
        <f>AI317*Valores!$C$76</f>
        <v>-6473.7137519999997</v>
      </c>
      <c r="AY317" s="125">
        <f>AI317*Valores!$C$77</f>
        <v>-719.30152800000008</v>
      </c>
      <c r="AZ317" s="125">
        <f t="shared" si="49"/>
        <v>201404.42783999999</v>
      </c>
      <c r="BA317" s="125">
        <f>AI317*Valores!$C$79</f>
        <v>38362.748160000003</v>
      </c>
      <c r="BB317" s="125">
        <f>AI317*Valores!$C$80</f>
        <v>16783.70232</v>
      </c>
      <c r="BC317" s="125">
        <f>AI317*Valores!$C$81</f>
        <v>2397.6717600000002</v>
      </c>
      <c r="BD317" s="125">
        <f>AI317*Valores!$C$83</f>
        <v>8391.8511600000002</v>
      </c>
      <c r="BE317" s="125">
        <f>AI317*Valores!$C$85</f>
        <v>12947.427503999999</v>
      </c>
      <c r="BF317" s="125">
        <f>AI317*Valores!$C$84</f>
        <v>1438.6030560000002</v>
      </c>
      <c r="BG317" s="126"/>
      <c r="BH317" s="126"/>
      <c r="BI317" s="123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  <c r="AMG317" s="110"/>
      <c r="AMH317" s="110"/>
      <c r="AMI317" s="110"/>
      <c r="AMJ317" s="110"/>
      <c r="AMK317" s="110"/>
      <c r="AML317" s="110"/>
      <c r="AMM317" s="110"/>
      <c r="AMN317" s="110"/>
      <c r="AMO317" s="110"/>
    </row>
    <row r="318" spans="1:1029" s="142" customFormat="1" ht="11.25" customHeight="1" x14ac:dyDescent="0.15">
      <c r="A318" s="123"/>
      <c r="B318" s="141">
        <v>14</v>
      </c>
      <c r="C318" s="126">
        <v>311</v>
      </c>
      <c r="D318" s="127" t="s">
        <v>487</v>
      </c>
      <c r="E318" s="194">
        <f t="shared" si="57"/>
        <v>2170</v>
      </c>
      <c r="F318" s="125">
        <f>ROUND(E318*Valores!$C$2,2)</f>
        <v>168384.84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46947.42</v>
      </c>
      <c r="N318" s="125">
        <f t="shared" si="46"/>
        <v>0</v>
      </c>
      <c r="O318" s="125">
        <v>0</v>
      </c>
      <c r="P318" s="125">
        <v>0</v>
      </c>
      <c r="Q318" s="125">
        <v>0</v>
      </c>
      <c r="R318" s="125">
        <f>IF($F$4="NO",IF(Valores!$C$50*B318&gt;Valores!$C$47,Valores!$C$47,Valores!$C$50*B318),IF(Valores!$C$50*B318&gt;Valores!$C$47,Valores!$C$47,Valores!$C$50*B318)/2)</f>
        <v>19404.84</v>
      </c>
      <c r="S318" s="125">
        <v>0</v>
      </c>
      <c r="T318" s="125">
        <f t="shared" si="56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7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>SUM(F318,H318,J318,L318,M318,N318,O318,P318,Q318,R318,T318,U318,V318,X318,Y318,Z318,AA318,AC318,AD318,AF318,AG318)*Valores!$C$104</f>
        <v>23473.710000000003</v>
      </c>
      <c r="AI318" s="125">
        <f t="shared" si="50"/>
        <v>258210.81</v>
      </c>
      <c r="AJ318" s="125">
        <v>0</v>
      </c>
      <c r="AK318" s="125">
        <v>0</v>
      </c>
      <c r="AL318" s="125">
        <v>0</v>
      </c>
      <c r="AM318" s="125">
        <v>0</v>
      </c>
      <c r="AN318" s="125">
        <v>0</v>
      </c>
      <c r="AO318" s="125">
        <f t="shared" si="48"/>
        <v>0</v>
      </c>
      <c r="AP318" s="125">
        <f>AI318*Valores!$C$72</f>
        <v>-28403.1891</v>
      </c>
      <c r="AQ318" s="125">
        <f>IF(AI318&lt;Valores!$E$73,-0.02,IF(AI318&lt;Valores!$F$73,-0.03,-0.04))*AI318</f>
        <v>-5164.2161999999998</v>
      </c>
      <c r="AR318" s="125">
        <f>AI318*Valores!$C$75</f>
        <v>-14201.59455</v>
      </c>
      <c r="AS318" s="125">
        <v>0</v>
      </c>
      <c r="AT318" s="125">
        <v>0</v>
      </c>
      <c r="AU318" s="125">
        <f t="shared" si="51"/>
        <v>210441.81015</v>
      </c>
      <c r="AV318" s="125">
        <f t="shared" si="45"/>
        <v>-28403.1891</v>
      </c>
      <c r="AW318" s="125">
        <f t="shared" si="52"/>
        <v>-5164.2161999999998</v>
      </c>
      <c r="AX318" s="125">
        <f>AI318*Valores!$C$76</f>
        <v>-6971.6918699999997</v>
      </c>
      <c r="AY318" s="125">
        <f>AI318*Valores!$C$77</f>
        <v>-774.63243</v>
      </c>
      <c r="AZ318" s="125">
        <f t="shared" si="49"/>
        <v>216897.08040000001</v>
      </c>
      <c r="BA318" s="125">
        <f>AI318*Valores!$C$79</f>
        <v>41313.729599999999</v>
      </c>
      <c r="BB318" s="125">
        <f>AI318*Valores!$C$80</f>
        <v>18074.756700000002</v>
      </c>
      <c r="BC318" s="125">
        <f>AI318*Valores!$C$81</f>
        <v>2582.1080999999999</v>
      </c>
      <c r="BD318" s="125">
        <f>AI318*Valores!$C$83</f>
        <v>9037.3783500000009</v>
      </c>
      <c r="BE318" s="125">
        <f>AI318*Valores!$C$85</f>
        <v>13943.383739999999</v>
      </c>
      <c r="BF318" s="125">
        <f>AI318*Valores!$C$84</f>
        <v>1549.26486</v>
      </c>
      <c r="BG318" s="126"/>
      <c r="BH318" s="126"/>
      <c r="BI318" s="123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  <c r="AMG318" s="110"/>
      <c r="AMH318" s="110"/>
      <c r="AMI318" s="110"/>
      <c r="AMJ318" s="110"/>
      <c r="AMK318" s="110"/>
      <c r="AML318" s="110"/>
      <c r="AMM318" s="110"/>
      <c r="AMN318" s="110"/>
      <c r="AMO318" s="110"/>
    </row>
    <row r="319" spans="1:1029" s="142" customFormat="1" ht="11.25" customHeight="1" x14ac:dyDescent="0.15">
      <c r="A319" s="123"/>
      <c r="B319" s="141">
        <v>15</v>
      </c>
      <c r="C319" s="126">
        <v>312</v>
      </c>
      <c r="D319" s="127" t="s">
        <v>488</v>
      </c>
      <c r="E319" s="194">
        <f t="shared" si="57"/>
        <v>2325</v>
      </c>
      <c r="F319" s="125">
        <f>ROUND(E319*Valores!$C$2,2)</f>
        <v>180412.33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50300.81</v>
      </c>
      <c r="N319" s="125">
        <f t="shared" si="46"/>
        <v>0</v>
      </c>
      <c r="O319" s="125">
        <v>0</v>
      </c>
      <c r="P319" s="125">
        <v>0</v>
      </c>
      <c r="Q319" s="125">
        <v>0</v>
      </c>
      <c r="R319" s="125">
        <f>IF($F$4="NO",IF(Valores!$C$50*B319&gt;Valores!$C$47,Valores!$C$47,Valores!$C$50*B319),IF(Valores!$C$50*B319&gt;Valores!$C$47,Valores!$C$47,Valores!$C$50*B319)/2)</f>
        <v>20790.899999999998</v>
      </c>
      <c r="S319" s="125">
        <v>0</v>
      </c>
      <c r="T319" s="125">
        <f t="shared" si="56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7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>SUM(F319,H319,J319,L319,M319,N319,O319,P319,Q319,R319,T319,U319,V319,X319,Y319,Z319,AA319,AC319,AD319,AF319,AG319)*Valores!$C$104</f>
        <v>25150.403999999999</v>
      </c>
      <c r="AI319" s="125">
        <f t="shared" si="50"/>
        <v>276654.44399999996</v>
      </c>
      <c r="AJ319" s="125">
        <v>0</v>
      </c>
      <c r="AK319" s="125">
        <v>0</v>
      </c>
      <c r="AL319" s="125">
        <v>0</v>
      </c>
      <c r="AM319" s="125">
        <v>0</v>
      </c>
      <c r="AN319" s="125">
        <v>0</v>
      </c>
      <c r="AO319" s="125">
        <f t="shared" si="48"/>
        <v>0</v>
      </c>
      <c r="AP319" s="125">
        <f>AI319*Valores!$C$72</f>
        <v>-30431.988839999995</v>
      </c>
      <c r="AQ319" s="125">
        <f>IF(AI319&lt;Valores!$E$73,-0.02,IF(AI319&lt;Valores!$F$73,-0.03,-0.04))*AI319</f>
        <v>-5533.0888799999993</v>
      </c>
      <c r="AR319" s="125">
        <f>AI319*Valores!$C$75</f>
        <v>-15215.994419999997</v>
      </c>
      <c r="AS319" s="125">
        <v>0</v>
      </c>
      <c r="AT319" s="125">
        <v>0</v>
      </c>
      <c r="AU319" s="125">
        <f t="shared" si="51"/>
        <v>225473.37185999996</v>
      </c>
      <c r="AV319" s="125">
        <f t="shared" si="45"/>
        <v>-30431.988839999995</v>
      </c>
      <c r="AW319" s="125">
        <f t="shared" si="52"/>
        <v>-5533.0888799999993</v>
      </c>
      <c r="AX319" s="125">
        <f>AI319*Valores!$C$76</f>
        <v>-7469.6699879999987</v>
      </c>
      <c r="AY319" s="125">
        <f>AI319*Valores!$C$77</f>
        <v>-829.96333199999992</v>
      </c>
      <c r="AZ319" s="125">
        <f t="shared" si="49"/>
        <v>232389.73295999996</v>
      </c>
      <c r="BA319" s="125">
        <f>AI319*Valores!$C$79</f>
        <v>44264.711039999995</v>
      </c>
      <c r="BB319" s="125">
        <f>AI319*Valores!$C$80</f>
        <v>19365.811079999999</v>
      </c>
      <c r="BC319" s="125">
        <f>AI319*Valores!$C$81</f>
        <v>2766.5444399999997</v>
      </c>
      <c r="BD319" s="125">
        <f>AI319*Valores!$C$83</f>
        <v>9682.9055399999997</v>
      </c>
      <c r="BE319" s="125">
        <f>AI319*Valores!$C$85</f>
        <v>14939.339975999997</v>
      </c>
      <c r="BF319" s="125">
        <f>AI319*Valores!$C$84</f>
        <v>1659.9266639999998</v>
      </c>
      <c r="BG319" s="126"/>
      <c r="BH319" s="126"/>
      <c r="BI319" s="123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  <c r="AMG319" s="110"/>
      <c r="AMH319" s="110"/>
      <c r="AMI319" s="110"/>
      <c r="AMJ319" s="110"/>
      <c r="AMK319" s="110"/>
      <c r="AML319" s="110"/>
      <c r="AMM319" s="110"/>
      <c r="AMN319" s="110"/>
      <c r="AMO319" s="110"/>
    </row>
    <row r="320" spans="1:1029" s="142" customFormat="1" ht="11.25" customHeight="1" x14ac:dyDescent="0.15">
      <c r="A320" s="123"/>
      <c r="B320" s="141">
        <v>16</v>
      </c>
      <c r="C320" s="126">
        <v>313</v>
      </c>
      <c r="D320" s="127" t="s">
        <v>489</v>
      </c>
      <c r="E320" s="194">
        <f t="shared" si="57"/>
        <v>2480</v>
      </c>
      <c r="F320" s="125">
        <f>ROUND(E320*Valores!$C$2,2)</f>
        <v>192439.82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53654.2</v>
      </c>
      <c r="N320" s="125">
        <f t="shared" si="46"/>
        <v>0</v>
      </c>
      <c r="O320" s="125">
        <v>0</v>
      </c>
      <c r="P320" s="125">
        <v>0</v>
      </c>
      <c r="Q320" s="125">
        <v>0</v>
      </c>
      <c r="R320" s="125">
        <f>IF($F$4="NO",IF(Valores!$C$50*B320&gt;Valores!$C$47,Valores!$C$47,Valores!$C$50*B320),IF(Valores!$C$50*B320&gt;Valores!$C$47,Valores!$C$47,Valores!$C$50*B320)/2)</f>
        <v>22176.959999999999</v>
      </c>
      <c r="S320" s="125">
        <v>0</v>
      </c>
      <c r="T320" s="125">
        <f t="shared" si="56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7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>SUM(F320,H320,J320,L320,M320,N320,O320,P320,Q320,R320,T320,U320,V320,X320,Y320,Z320,AA320,AC320,AD320,AF320,AG320)*Valores!$C$104</f>
        <v>26827.098000000005</v>
      </c>
      <c r="AI320" s="125">
        <f t="shared" si="50"/>
        <v>295098.07800000004</v>
      </c>
      <c r="AJ320" s="125">
        <v>0</v>
      </c>
      <c r="AK320" s="125">
        <v>0</v>
      </c>
      <c r="AL320" s="125">
        <v>0</v>
      </c>
      <c r="AM320" s="125">
        <v>0</v>
      </c>
      <c r="AN320" s="125">
        <v>0</v>
      </c>
      <c r="AO320" s="125">
        <f t="shared" si="48"/>
        <v>0</v>
      </c>
      <c r="AP320" s="125">
        <f>AI320*Valores!$C$72</f>
        <v>-32460.788580000004</v>
      </c>
      <c r="AQ320" s="125">
        <f>IF(AI320&lt;Valores!$E$73,-0.02,IF(AI320&lt;Valores!$F$73,-0.03,-0.04))*AI320</f>
        <v>-5901.9615600000006</v>
      </c>
      <c r="AR320" s="125">
        <f>AI320*Valores!$C$75</f>
        <v>-16230.394290000002</v>
      </c>
      <c r="AS320" s="125">
        <v>0</v>
      </c>
      <c r="AT320" s="125">
        <v>0</v>
      </c>
      <c r="AU320" s="125">
        <f t="shared" si="51"/>
        <v>240504.93357000002</v>
      </c>
      <c r="AV320" s="125">
        <f t="shared" si="45"/>
        <v>-32460.788580000004</v>
      </c>
      <c r="AW320" s="125">
        <f t="shared" si="52"/>
        <v>-5901.9615600000006</v>
      </c>
      <c r="AX320" s="125">
        <f>AI320*Valores!$C$76</f>
        <v>-7967.6481060000006</v>
      </c>
      <c r="AY320" s="125">
        <f>AI320*Valores!$C$77</f>
        <v>-885.29423400000019</v>
      </c>
      <c r="AZ320" s="125">
        <f t="shared" si="49"/>
        <v>247882.38552000004</v>
      </c>
      <c r="BA320" s="125">
        <f>AI320*Valores!$C$79</f>
        <v>47215.692480000005</v>
      </c>
      <c r="BB320" s="125">
        <f>AI320*Valores!$C$80</f>
        <v>20656.865460000005</v>
      </c>
      <c r="BC320" s="125">
        <f>AI320*Valores!$C$81</f>
        <v>2950.9807800000003</v>
      </c>
      <c r="BD320" s="125">
        <f>AI320*Valores!$C$83</f>
        <v>10328.432730000002</v>
      </c>
      <c r="BE320" s="125">
        <f>AI320*Valores!$C$85</f>
        <v>15935.296212000001</v>
      </c>
      <c r="BF320" s="125">
        <f>AI320*Valores!$C$84</f>
        <v>1770.5884680000004</v>
      </c>
      <c r="BG320" s="126"/>
      <c r="BH320" s="126"/>
      <c r="BI320" s="123" t="s">
        <v>4</v>
      </c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  <c r="AMG320" s="110"/>
      <c r="AMH320" s="110"/>
      <c r="AMI320" s="110"/>
      <c r="AMJ320" s="110"/>
      <c r="AMK320" s="110"/>
      <c r="AML320" s="110"/>
      <c r="AMM320" s="110"/>
      <c r="AMN320" s="110"/>
      <c r="AMO320" s="110"/>
    </row>
    <row r="321" spans="1:1029" s="142" customFormat="1" ht="11.25" customHeight="1" x14ac:dyDescent="0.15">
      <c r="A321" s="143" t="s">
        <v>469</v>
      </c>
      <c r="B321" s="141">
        <v>1</v>
      </c>
      <c r="C321" s="126">
        <v>314</v>
      </c>
      <c r="D321" s="127" t="s">
        <v>490</v>
      </c>
      <c r="E321" s="194">
        <v>275</v>
      </c>
      <c r="F321" s="125">
        <f>ROUND(E321*Valores!$C$2,2)</f>
        <v>21339.09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6"/>
        <v>0</v>
      </c>
      <c r="O321" s="125">
        <v>0</v>
      </c>
      <c r="P321" s="125">
        <v>0</v>
      </c>
      <c r="Q321" s="125">
        <v>0</v>
      </c>
      <c r="R321" s="125">
        <f>IF($F$4="NO",Valores!$C$51,Valores!$C$51/2)</f>
        <v>1030.3800000000001</v>
      </c>
      <c r="S321" s="125">
        <v>0</v>
      </c>
      <c r="T321" s="125">
        <f t="shared" si="56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Valores!$C$100</f>
        <v>4656.34</v>
      </c>
      <c r="AA321" s="125">
        <v>0</v>
      </c>
      <c r="AB321" s="214">
        <v>0</v>
      </c>
      <c r="AC321" s="125">
        <f t="shared" si="47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Valores!$C$65</f>
        <v>1236.49</v>
      </c>
      <c r="AH321" s="125">
        <f>SUM(F321,H321,J321,L321,M321,N321,O321,P321,Q321,R321,T321,U321,V321,X321,Y321,Z321,AA321,AC321,AD321,AF321,AG321)*Valores!$C$104</f>
        <v>2826.2300000000005</v>
      </c>
      <c r="AI321" s="125">
        <f t="shared" si="50"/>
        <v>31088.530000000002</v>
      </c>
      <c r="AJ321" s="125">
        <f>Valores!$C$34</f>
        <v>4666.666666666667</v>
      </c>
      <c r="AK321" s="125">
        <v>0</v>
      </c>
      <c r="AL321" s="125">
        <f>Valores!$C$93</f>
        <v>0</v>
      </c>
      <c r="AM321" s="125">
        <v>0</v>
      </c>
      <c r="AN321" s="125">
        <v>0</v>
      </c>
      <c r="AO321" s="125">
        <f t="shared" si="48"/>
        <v>4666.666666666667</v>
      </c>
      <c r="AP321" s="125">
        <f>AI321*Valores!$C$72</f>
        <v>-3419.7383000000004</v>
      </c>
      <c r="AQ321" s="125">
        <f>IF(AI321&lt;Valores!$E$73,-0.02,IF(AI321&lt;Valores!$F$73,-0.03,-0.04))*AI321</f>
        <v>-621.77060000000006</v>
      </c>
      <c r="AR321" s="125">
        <f>AI321*Valores!$C$75</f>
        <v>-1709.8691500000002</v>
      </c>
      <c r="AS321" s="125">
        <v>0</v>
      </c>
      <c r="AT321" s="125">
        <v>0</v>
      </c>
      <c r="AU321" s="125">
        <f t="shared" si="51"/>
        <v>30003.818616666667</v>
      </c>
      <c r="AV321" s="125">
        <f t="shared" si="45"/>
        <v>-3419.7383000000004</v>
      </c>
      <c r="AW321" s="125">
        <f t="shared" si="52"/>
        <v>-621.77060000000006</v>
      </c>
      <c r="AX321" s="125">
        <f>AI321*Valores!$C$76</f>
        <v>-839.39031000000011</v>
      </c>
      <c r="AY321" s="125">
        <f>AI321*Valores!$C$77</f>
        <v>-93.265590000000003</v>
      </c>
      <c r="AZ321" s="125">
        <f t="shared" si="49"/>
        <v>30781.031866666672</v>
      </c>
      <c r="BA321" s="125">
        <f>AI321*Valores!$C$79</f>
        <v>4974.1648000000005</v>
      </c>
      <c r="BB321" s="125">
        <f>AI321*Valores!$C$80</f>
        <v>2176.1971000000003</v>
      </c>
      <c r="BC321" s="125">
        <f>AI321*Valores!$C$81</f>
        <v>310.88530000000003</v>
      </c>
      <c r="BD321" s="125">
        <f>AI321*Valores!$C$83</f>
        <v>1088.0985500000002</v>
      </c>
      <c r="BE321" s="125">
        <f>AI321*Valores!$C$85</f>
        <v>1678.7806200000002</v>
      </c>
      <c r="BF321" s="125">
        <f>AI321*Valores!$C$84</f>
        <v>186.53118000000001</v>
      </c>
      <c r="BG321" s="126"/>
      <c r="BH321" s="126"/>
      <c r="BI321" s="123" t="s">
        <v>4</v>
      </c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  <c r="AMG321" s="110"/>
      <c r="AMH321" s="110"/>
      <c r="AMI321" s="110"/>
      <c r="AMJ321" s="110"/>
      <c r="AMK321" s="110"/>
      <c r="AML321" s="110"/>
      <c r="AMM321" s="110"/>
      <c r="AMN321" s="110"/>
      <c r="AMO321" s="110"/>
    </row>
    <row r="322" spans="1:1029" s="142" customFormat="1" ht="11.25" customHeight="1" x14ac:dyDescent="0.15">
      <c r="A322" s="144" t="s">
        <v>469</v>
      </c>
      <c r="B322" s="141">
        <v>1</v>
      </c>
      <c r="C322" s="126">
        <v>315</v>
      </c>
      <c r="D322" s="127" t="s">
        <v>491</v>
      </c>
      <c r="E322" s="194">
        <v>245</v>
      </c>
      <c r="F322" s="125">
        <f>ROUND(E322*Valores!$C$2,2)</f>
        <v>19011.189999999999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6"/>
        <v>0</v>
      </c>
      <c r="O322" s="125">
        <v>0</v>
      </c>
      <c r="P322" s="125">
        <v>0</v>
      </c>
      <c r="Q322" s="125">
        <v>0</v>
      </c>
      <c r="R322" s="125">
        <f>IF($F$4="NO",Valores!$C$51,Valores!$C$51/2)</f>
        <v>1030.3800000000001</v>
      </c>
      <c r="S322" s="125">
        <v>0</v>
      </c>
      <c r="T322" s="125">
        <f t="shared" si="56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Valores!$C$100</f>
        <v>4656.34</v>
      </c>
      <c r="AA322" s="125">
        <v>0</v>
      </c>
      <c r="AB322" s="214">
        <v>0</v>
      </c>
      <c r="AC322" s="125">
        <f t="shared" si="47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Valores!$C$65</f>
        <v>1236.49</v>
      </c>
      <c r="AH322" s="125">
        <f>SUM(F322,H322,J322,L322,M322,N322,O322,P322,Q322,R322,T322,U322,V322,X322,Y322,Z322,AA322,AC322,AD322,AF322,AG322)*Valores!$C$104</f>
        <v>2593.4400000000005</v>
      </c>
      <c r="AI322" s="125">
        <f t="shared" si="50"/>
        <v>28527.840000000004</v>
      </c>
      <c r="AJ322" s="125">
        <f>Valores!$C$34</f>
        <v>4666.666666666667</v>
      </c>
      <c r="AK322" s="125">
        <v>0</v>
      </c>
      <c r="AL322" s="125">
        <f>Valores!$C$93</f>
        <v>0</v>
      </c>
      <c r="AM322" s="125">
        <v>0</v>
      </c>
      <c r="AN322" s="125">
        <v>0</v>
      </c>
      <c r="AO322" s="125">
        <f t="shared" si="48"/>
        <v>4666.666666666667</v>
      </c>
      <c r="AP322" s="125">
        <f>AI322*Valores!$C$72</f>
        <v>-3138.0624000000003</v>
      </c>
      <c r="AQ322" s="125">
        <f>IF(AI322&lt;Valores!$E$73,-0.02,IF(AI322&lt;Valores!$F$73,-0.03,-0.04))*AI322</f>
        <v>-570.55680000000007</v>
      </c>
      <c r="AR322" s="125">
        <f>AI322*Valores!$C$75</f>
        <v>-1569.0312000000001</v>
      </c>
      <c r="AS322" s="125">
        <v>0</v>
      </c>
      <c r="AT322" s="125">
        <v>0</v>
      </c>
      <c r="AU322" s="125">
        <f t="shared" si="51"/>
        <v>27916.856266666669</v>
      </c>
      <c r="AV322" s="125">
        <f t="shared" si="45"/>
        <v>-3138.0624000000003</v>
      </c>
      <c r="AW322" s="125">
        <f t="shared" si="52"/>
        <v>-570.55680000000007</v>
      </c>
      <c r="AX322" s="125">
        <f>AI322*Valores!$C$76</f>
        <v>-770.25168000000008</v>
      </c>
      <c r="AY322" s="125">
        <f>AI322*Valores!$C$77</f>
        <v>-85.583520000000007</v>
      </c>
      <c r="AZ322" s="125">
        <f t="shared" si="49"/>
        <v>28630.052266666666</v>
      </c>
      <c r="BA322" s="125">
        <f>AI322*Valores!$C$79</f>
        <v>4564.4544000000005</v>
      </c>
      <c r="BB322" s="125">
        <f>AI322*Valores!$C$80</f>
        <v>1996.9488000000003</v>
      </c>
      <c r="BC322" s="125">
        <f>AI322*Valores!$C$81</f>
        <v>285.27840000000003</v>
      </c>
      <c r="BD322" s="125">
        <f>AI322*Valores!$C$83</f>
        <v>998.47440000000017</v>
      </c>
      <c r="BE322" s="125">
        <f>AI322*Valores!$C$85</f>
        <v>1540.5033600000002</v>
      </c>
      <c r="BF322" s="125">
        <f>AI322*Valores!$C$84</f>
        <v>171.16704000000001</v>
      </c>
      <c r="BG322" s="126"/>
      <c r="BH322" s="126"/>
      <c r="BI322" s="123" t="s">
        <v>4</v>
      </c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  <c r="AMG322" s="110"/>
      <c r="AMH322" s="110"/>
      <c r="AMI322" s="110"/>
      <c r="AMJ322" s="110"/>
      <c r="AMK322" s="110"/>
      <c r="AML322" s="110"/>
      <c r="AMM322" s="110"/>
      <c r="AMN322" s="110"/>
      <c r="AMO322" s="110"/>
    </row>
    <row r="323" spans="1:1029" s="142" customFormat="1" ht="11.25" customHeight="1" x14ac:dyDescent="0.15">
      <c r="A323" s="144" t="s">
        <v>469</v>
      </c>
      <c r="B323" s="141">
        <v>1</v>
      </c>
      <c r="C323" s="126">
        <v>316</v>
      </c>
      <c r="D323" s="127" t="s">
        <v>492</v>
      </c>
      <c r="E323" s="194">
        <v>238</v>
      </c>
      <c r="F323" s="125">
        <f>ROUND(E323*Valores!$C$2,2)</f>
        <v>18468.009999999998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6"/>
        <v>0</v>
      </c>
      <c r="O323" s="125">
        <v>0</v>
      </c>
      <c r="P323" s="125">
        <v>0</v>
      </c>
      <c r="Q323" s="125">
        <v>0</v>
      </c>
      <c r="R323" s="125">
        <f>IF($F$4="NO",Valores!$C$51,Valores!$C$51/2)</f>
        <v>1030.3800000000001</v>
      </c>
      <c r="S323" s="125">
        <v>0</v>
      </c>
      <c r="T323" s="125">
        <f t="shared" si="56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Valores!$C$100</f>
        <v>4656.34</v>
      </c>
      <c r="AA323" s="125">
        <v>0</v>
      </c>
      <c r="AB323" s="214">
        <v>0</v>
      </c>
      <c r="AC323" s="125">
        <f t="shared" si="47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Valores!$C$65</f>
        <v>1236.49</v>
      </c>
      <c r="AH323" s="125">
        <f>SUM(F323,H323,J323,L323,M323,N323,O323,P323,Q323,R323,T323,U323,V323,X323,Y323,Z323,AA323,AC323,AD323,AF323,AG323)*Valores!$C$104</f>
        <v>2539.1220000000003</v>
      </c>
      <c r="AI323" s="125">
        <f t="shared" si="50"/>
        <v>27930.342000000001</v>
      </c>
      <c r="AJ323" s="125">
        <f>Valores!$C$34</f>
        <v>4666.666666666667</v>
      </c>
      <c r="AK323" s="125">
        <v>0</v>
      </c>
      <c r="AL323" s="125">
        <f>Valores!$C$93</f>
        <v>0</v>
      </c>
      <c r="AM323" s="125">
        <v>0</v>
      </c>
      <c r="AN323" s="125">
        <v>0</v>
      </c>
      <c r="AO323" s="125">
        <f t="shared" si="48"/>
        <v>4666.666666666667</v>
      </c>
      <c r="AP323" s="125">
        <f>AI323*Valores!$C$72</f>
        <v>-3072.3376200000002</v>
      </c>
      <c r="AQ323" s="125">
        <f>IF(AI323&lt;Valores!$E$73,-0.02,IF(AI323&lt;Valores!$F$73,-0.03,-0.04))*AI323</f>
        <v>-558.60684000000003</v>
      </c>
      <c r="AR323" s="125">
        <f>AI323*Valores!$C$75</f>
        <v>-1536.1688100000001</v>
      </c>
      <c r="AS323" s="125">
        <v>0</v>
      </c>
      <c r="AT323" s="125">
        <v>0</v>
      </c>
      <c r="AU323" s="125">
        <f t="shared" si="51"/>
        <v>27429.895396666667</v>
      </c>
      <c r="AV323" s="125">
        <f t="shared" si="45"/>
        <v>-3072.3376200000002</v>
      </c>
      <c r="AW323" s="125">
        <f t="shared" si="52"/>
        <v>-558.60684000000003</v>
      </c>
      <c r="AX323" s="125">
        <f>AI323*Valores!$C$76</f>
        <v>-754.11923400000001</v>
      </c>
      <c r="AY323" s="125">
        <f>AI323*Valores!$C$77</f>
        <v>-83.791026000000002</v>
      </c>
      <c r="AZ323" s="125">
        <f t="shared" si="49"/>
        <v>28128.153946666669</v>
      </c>
      <c r="BA323" s="125">
        <f>AI323*Valores!$C$79</f>
        <v>4468.8547200000003</v>
      </c>
      <c r="BB323" s="125">
        <f>AI323*Valores!$C$80</f>
        <v>1955.1239400000002</v>
      </c>
      <c r="BC323" s="125">
        <f>AI323*Valores!$C$81</f>
        <v>279.30342000000002</v>
      </c>
      <c r="BD323" s="125">
        <f>AI323*Valores!$C$83</f>
        <v>977.56197000000009</v>
      </c>
      <c r="BE323" s="125">
        <f>AI323*Valores!$C$85</f>
        <v>1508.238468</v>
      </c>
      <c r="BF323" s="125">
        <f>AI323*Valores!$C$84</f>
        <v>167.582052</v>
      </c>
      <c r="BG323" s="126"/>
      <c r="BH323" s="126"/>
      <c r="BI323" s="123" t="s">
        <v>4</v>
      </c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  <c r="AMG323" s="110"/>
      <c r="AMH323" s="110"/>
      <c r="AMI323" s="110"/>
      <c r="AMJ323" s="110"/>
      <c r="AMK323" s="110"/>
      <c r="AML323" s="110"/>
      <c r="AMM323" s="110"/>
      <c r="AMN323" s="110"/>
      <c r="AMO323" s="110"/>
    </row>
    <row r="324" spans="1:1029" s="142" customFormat="1" ht="11.25" customHeight="1" x14ac:dyDescent="0.15">
      <c r="A324" s="144" t="s">
        <v>469</v>
      </c>
      <c r="B324" s="141">
        <v>1</v>
      </c>
      <c r="C324" s="126">
        <v>317</v>
      </c>
      <c r="D324" s="127" t="s">
        <v>493</v>
      </c>
      <c r="E324" s="194">
        <v>245</v>
      </c>
      <c r="F324" s="125">
        <f>ROUND(E324*Valores!$C$2,2)</f>
        <v>19011.189999999999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6"/>
        <v>0</v>
      </c>
      <c r="O324" s="125">
        <v>0</v>
      </c>
      <c r="P324" s="125">
        <v>0</v>
      </c>
      <c r="Q324" s="125">
        <v>0</v>
      </c>
      <c r="R324" s="125">
        <f>IF($F$4="NO",Valores!$C$51,Valores!$C$51/2)</f>
        <v>1030.3800000000001</v>
      </c>
      <c r="S324" s="125">
        <v>0</v>
      </c>
      <c r="T324" s="125">
        <f t="shared" si="56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Valores!$C$100</f>
        <v>4656.34</v>
      </c>
      <c r="AA324" s="125">
        <v>0</v>
      </c>
      <c r="AB324" s="214">
        <v>0</v>
      </c>
      <c r="AC324" s="125">
        <f t="shared" si="47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Valores!$C$65</f>
        <v>1236.49</v>
      </c>
      <c r="AH324" s="125">
        <f>SUM(F324,H324,J324,L324,M324,N324,O324,P324,Q324,R324,T324,U324,V324,X324,Y324,Z324,AA324,AC324,AD324,AF324,AG324)*Valores!$C$104</f>
        <v>2593.4400000000005</v>
      </c>
      <c r="AI324" s="125">
        <f t="shared" si="50"/>
        <v>28527.840000000004</v>
      </c>
      <c r="AJ324" s="125">
        <v>0</v>
      </c>
      <c r="AK324" s="125">
        <v>0</v>
      </c>
      <c r="AL324" s="125">
        <f>Valores!$C$93</f>
        <v>0</v>
      </c>
      <c r="AM324" s="125">
        <v>0</v>
      </c>
      <c r="AN324" s="125">
        <v>0</v>
      </c>
      <c r="AO324" s="125">
        <f t="shared" si="48"/>
        <v>0</v>
      </c>
      <c r="AP324" s="125">
        <f>AI324*Valores!$C$72</f>
        <v>-3138.0624000000003</v>
      </c>
      <c r="AQ324" s="125">
        <f>IF(AI324&lt;Valores!$E$73,-0.02,IF(AI324&lt;Valores!$F$73,-0.03,-0.04))*AI324</f>
        <v>-570.55680000000007</v>
      </c>
      <c r="AR324" s="125">
        <f>AI324*Valores!$C$75</f>
        <v>-1569.0312000000001</v>
      </c>
      <c r="AS324" s="125">
        <v>0</v>
      </c>
      <c r="AT324" s="125">
        <v>0</v>
      </c>
      <c r="AU324" s="125">
        <f t="shared" si="51"/>
        <v>23250.189600000005</v>
      </c>
      <c r="AV324" s="125">
        <f t="shared" si="45"/>
        <v>-3138.0624000000003</v>
      </c>
      <c r="AW324" s="125">
        <f t="shared" si="52"/>
        <v>-570.55680000000007</v>
      </c>
      <c r="AX324" s="125">
        <f>AI324*Valores!$C$76</f>
        <v>-770.25168000000008</v>
      </c>
      <c r="AY324" s="125">
        <f>AI324*Valores!$C$77</f>
        <v>-85.583520000000007</v>
      </c>
      <c r="AZ324" s="125">
        <f t="shared" si="49"/>
        <v>23963.385600000001</v>
      </c>
      <c r="BA324" s="125">
        <f>AI324*Valores!$C$79</f>
        <v>4564.4544000000005</v>
      </c>
      <c r="BB324" s="125">
        <f>AI324*Valores!$C$80</f>
        <v>1996.9488000000003</v>
      </c>
      <c r="BC324" s="125">
        <f>AI324*Valores!$C$81</f>
        <v>285.27840000000003</v>
      </c>
      <c r="BD324" s="125">
        <f>AI324*Valores!$C$83</f>
        <v>998.47440000000017</v>
      </c>
      <c r="BE324" s="125">
        <f>AI324*Valores!$C$85</f>
        <v>1540.5033600000002</v>
      </c>
      <c r="BF324" s="125">
        <f>AI324*Valores!$C$84</f>
        <v>171.16704000000001</v>
      </c>
      <c r="BG324" s="126"/>
      <c r="BH324" s="126"/>
      <c r="BI324" s="123" t="s">
        <v>4</v>
      </c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  <c r="AMG324" s="110"/>
      <c r="AMH324" s="110"/>
      <c r="AMI324" s="110"/>
      <c r="AMJ324" s="110"/>
      <c r="AMK324" s="110"/>
      <c r="AML324" s="110"/>
      <c r="AMM324" s="110"/>
      <c r="AMN324" s="110"/>
      <c r="AMO324" s="110"/>
    </row>
    <row r="325" spans="1:1029" s="142" customFormat="1" ht="11.25" customHeight="1" x14ac:dyDescent="0.15">
      <c r="A325" s="143" t="s">
        <v>469</v>
      </c>
      <c r="B325" s="141">
        <v>1</v>
      </c>
      <c r="C325" s="126">
        <v>318</v>
      </c>
      <c r="D325" s="127" t="s">
        <v>494</v>
      </c>
      <c r="E325" s="194">
        <v>243</v>
      </c>
      <c r="F325" s="125">
        <f>ROUND(E325*Valores!$C$2,2)</f>
        <v>18856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6"/>
        <v>0</v>
      </c>
      <c r="O325" s="125">
        <v>0</v>
      </c>
      <c r="P325" s="125">
        <v>0</v>
      </c>
      <c r="Q325" s="125">
        <v>0</v>
      </c>
      <c r="R325" s="125">
        <f>IF($F$4="NO",Valores!$C$51,Valores!$C$51/2)</f>
        <v>1030.3800000000001</v>
      </c>
      <c r="S325" s="125">
        <v>0</v>
      </c>
      <c r="T325" s="125">
        <f t="shared" si="56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Valores!$C$100</f>
        <v>4656.34</v>
      </c>
      <c r="AA325" s="125">
        <v>0</v>
      </c>
      <c r="AB325" s="214">
        <v>0</v>
      </c>
      <c r="AC325" s="125">
        <f t="shared" si="47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Valores!$C$65</f>
        <v>1236.49</v>
      </c>
      <c r="AH325" s="125">
        <f>SUM(F325,H325,J325,L325,M325,N325,O325,P325,Q325,R325,T325,U325,V325,X325,Y325,Z325,AA325,AC325,AD325,AF325,AG325)*Valores!$C$104</f>
        <v>2577.9210000000003</v>
      </c>
      <c r="AI325" s="125">
        <f t="shared" si="50"/>
        <v>28357.131000000001</v>
      </c>
      <c r="AJ325" s="125">
        <v>0</v>
      </c>
      <c r="AK325" s="125">
        <v>0</v>
      </c>
      <c r="AL325" s="125">
        <f>Valores!$C$93</f>
        <v>0</v>
      </c>
      <c r="AM325" s="125">
        <v>0</v>
      </c>
      <c r="AN325" s="125">
        <v>0</v>
      </c>
      <c r="AO325" s="125">
        <f t="shared" si="48"/>
        <v>0</v>
      </c>
      <c r="AP325" s="125">
        <f>AI325*Valores!$C$72</f>
        <v>-3119.2844100000002</v>
      </c>
      <c r="AQ325" s="125">
        <f>IF(AI325&lt;Valores!$E$73,-0.02,IF(AI325&lt;Valores!$F$73,-0.03,-0.04))*AI325</f>
        <v>-567.14262000000008</v>
      </c>
      <c r="AR325" s="125">
        <f>AI325*Valores!$C$75</f>
        <v>-1559.6422050000001</v>
      </c>
      <c r="AS325" s="125">
        <v>0</v>
      </c>
      <c r="AT325" s="125">
        <v>0</v>
      </c>
      <c r="AU325" s="125">
        <f t="shared" si="51"/>
        <v>23111.061764999999</v>
      </c>
      <c r="AV325" s="125">
        <f t="shared" si="45"/>
        <v>-3119.2844100000002</v>
      </c>
      <c r="AW325" s="125">
        <f t="shared" si="52"/>
        <v>-567.14262000000008</v>
      </c>
      <c r="AX325" s="125">
        <f>AI325*Valores!$C$76</f>
        <v>-765.64253700000006</v>
      </c>
      <c r="AY325" s="125">
        <f>AI325*Valores!$C$77</f>
        <v>-85.071393</v>
      </c>
      <c r="AZ325" s="125">
        <f t="shared" si="49"/>
        <v>23819.990040000001</v>
      </c>
      <c r="BA325" s="125">
        <f>AI325*Valores!$C$79</f>
        <v>4537.1409600000006</v>
      </c>
      <c r="BB325" s="125">
        <f>AI325*Valores!$C$80</f>
        <v>1984.9991700000003</v>
      </c>
      <c r="BC325" s="125">
        <f>AI325*Valores!$C$81</f>
        <v>283.57131000000004</v>
      </c>
      <c r="BD325" s="125">
        <f>AI325*Valores!$C$83</f>
        <v>992.49958500000014</v>
      </c>
      <c r="BE325" s="125">
        <f>AI325*Valores!$C$85</f>
        <v>1531.2850740000001</v>
      </c>
      <c r="BF325" s="125">
        <f>AI325*Valores!$C$84</f>
        <v>170.142786</v>
      </c>
      <c r="BG325" s="126"/>
      <c r="BH325" s="126"/>
      <c r="BI325" s="123" t="s">
        <v>4</v>
      </c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  <c r="AMG325" s="110"/>
      <c r="AMH325" s="110"/>
      <c r="AMI325" s="110"/>
      <c r="AMJ325" s="110"/>
      <c r="AMK325" s="110"/>
      <c r="AML325" s="110"/>
      <c r="AMM325" s="110"/>
      <c r="AMN325" s="110"/>
      <c r="AMO325" s="110"/>
    </row>
    <row r="326" spans="1:1029" s="142" customFormat="1" ht="11.25" customHeight="1" x14ac:dyDescent="0.15">
      <c r="A326" s="143" t="s">
        <v>469</v>
      </c>
      <c r="B326" s="123">
        <v>1</v>
      </c>
      <c r="C326" s="126">
        <v>319</v>
      </c>
      <c r="D326" s="127" t="s">
        <v>495</v>
      </c>
      <c r="E326" s="194">
        <v>235</v>
      </c>
      <c r="F326" s="125">
        <f>ROUND(E326*Valores!$C$2,2)</f>
        <v>18235.22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6"/>
        <v>0</v>
      </c>
      <c r="O326" s="125">
        <v>0</v>
      </c>
      <c r="P326" s="125">
        <v>0</v>
      </c>
      <c r="Q326" s="125">
        <v>0</v>
      </c>
      <c r="R326" s="125">
        <f>IF($F$4="NO",Valores!$C$51,Valores!$C$51/2)</f>
        <v>1030.3800000000001</v>
      </c>
      <c r="S326" s="125">
        <v>0</v>
      </c>
      <c r="T326" s="125">
        <f t="shared" si="56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Valores!$C$100</f>
        <v>4656.34</v>
      </c>
      <c r="AA326" s="125">
        <v>0</v>
      </c>
      <c r="AB326" s="214">
        <v>0</v>
      </c>
      <c r="AC326" s="125">
        <f t="shared" si="47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Valores!$C$65</f>
        <v>1236.49</v>
      </c>
      <c r="AH326" s="125">
        <f>SUM(F326,H326,J326,L326,M326,N326,O326,P326,Q326,R326,T326,U326,V326,X326,Y326,Z326,AA326,AC326,AD326,AF326,AG326)*Valores!$C$104</f>
        <v>2515.8430000000008</v>
      </c>
      <c r="AI326" s="125">
        <f t="shared" si="50"/>
        <v>27674.273000000005</v>
      </c>
      <c r="AJ326" s="125">
        <v>0</v>
      </c>
      <c r="AK326" s="125">
        <v>0</v>
      </c>
      <c r="AL326" s="125">
        <f>Valores!$C$93</f>
        <v>0</v>
      </c>
      <c r="AM326" s="125">
        <v>0</v>
      </c>
      <c r="AN326" s="125">
        <v>0</v>
      </c>
      <c r="AO326" s="125">
        <f t="shared" si="48"/>
        <v>0</v>
      </c>
      <c r="AP326" s="125">
        <f>AI326*Valores!$C$72</f>
        <v>-3044.1700300000007</v>
      </c>
      <c r="AQ326" s="125">
        <f>IF(AI326&lt;Valores!$E$73,-0.02,IF(AI326&lt;Valores!$F$73,-0.03,-0.04))*AI326</f>
        <v>-553.4854600000001</v>
      </c>
      <c r="AR326" s="125">
        <f>AI326*Valores!$C$75</f>
        <v>-1522.0850150000003</v>
      </c>
      <c r="AS326" s="125">
        <v>0</v>
      </c>
      <c r="AT326" s="125">
        <v>0</v>
      </c>
      <c r="AU326" s="125">
        <f t="shared" si="51"/>
        <v>22554.532495000003</v>
      </c>
      <c r="AV326" s="125">
        <f>AP326</f>
        <v>-3044.1700300000007</v>
      </c>
      <c r="AW326" s="125">
        <f t="shared" si="52"/>
        <v>-553.4854600000001</v>
      </c>
      <c r="AX326" s="125">
        <f>AI326*Valores!$C$76</f>
        <v>-747.20537100000013</v>
      </c>
      <c r="AY326" s="125">
        <f>AI326*Valores!$C$77</f>
        <v>-83.022819000000013</v>
      </c>
      <c r="AZ326" s="125">
        <f>AI326+AO326+SUM(AV326:AY326)</f>
        <v>23246.389320000002</v>
      </c>
      <c r="BA326" s="125">
        <f>AI326*Valores!$C$79</f>
        <v>4427.8836800000008</v>
      </c>
      <c r="BB326" s="125">
        <f>AI326*Valores!$C$80</f>
        <v>1937.1991100000005</v>
      </c>
      <c r="BC326" s="125">
        <f>AI326*Valores!$C$81</f>
        <v>276.74273000000005</v>
      </c>
      <c r="BD326" s="125">
        <f>AI326*Valores!$C$83</f>
        <v>968.59955500000024</v>
      </c>
      <c r="BE326" s="125">
        <f>AI326*Valores!$C$85</f>
        <v>1494.4107420000003</v>
      </c>
      <c r="BF326" s="125">
        <f>AI326*Valores!$C$84</f>
        <v>166.04563800000003</v>
      </c>
      <c r="BG326" s="126"/>
      <c r="BH326" s="126"/>
      <c r="BI326" s="123" t="s">
        <v>4</v>
      </c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  <c r="AMG326" s="110"/>
      <c r="AMH326" s="110"/>
      <c r="AMI326" s="110"/>
      <c r="AMJ326" s="110"/>
      <c r="AMK326" s="110"/>
      <c r="AML326" s="110"/>
      <c r="AMM326" s="110"/>
      <c r="AMN326" s="110"/>
      <c r="AMO326" s="110"/>
    </row>
    <row r="328" spans="1:1029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28"/>
      <c r="AI328" s="130"/>
      <c r="AJ328" s="131"/>
      <c r="AK328" s="131"/>
    </row>
    <row r="332" spans="1:1029" x14ac:dyDescent="0.2">
      <c r="R332" s="168"/>
    </row>
  </sheetData>
  <autoFilter ref="A7:BI326"/>
  <mergeCells count="14">
    <mergeCell ref="A1:AN1"/>
    <mergeCell ref="AN2:AN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  <mergeCell ref="X3:AG4"/>
  </mergeCells>
  <dataValidations count="1">
    <dataValidation type="list" allowBlank="1" showInputMessage="1" showErrorMessage="1" error="VALOR INCORRECTO" sqref="F3:F4 AN4:AN5">
      <formula1>$AO$3:$AO$4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654</v>
      </c>
      <c r="B1" t="s">
        <v>655</v>
      </c>
      <c r="C1" t="s">
        <v>72</v>
      </c>
      <c r="D1" t="s">
        <v>685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687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106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108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110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112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114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116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118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120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122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124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126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128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130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132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134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136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138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140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142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144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146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148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150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152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154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156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158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160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162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164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166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168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170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172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172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175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177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179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181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183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185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187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189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191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193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195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197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199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201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203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205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207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209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211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213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215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217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219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221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223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225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227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229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231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233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235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237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239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241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243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245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247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249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251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253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255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257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259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261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263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265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266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268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269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271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272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274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276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278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280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282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284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286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288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290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292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294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296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298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300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302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304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306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308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310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312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314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316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318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320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322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324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326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328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330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332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334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336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338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340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342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344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346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348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350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352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354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356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358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360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362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364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366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368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370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372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374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376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378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380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382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384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386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388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390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392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394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396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398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400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402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403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405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407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408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410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412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414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416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418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420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422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424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426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428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430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432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434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436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438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440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442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444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446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448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450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452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454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456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458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460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462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464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695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691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692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693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694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696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697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698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699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700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701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703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702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704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705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706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707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708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709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710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711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712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713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714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715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716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717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718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719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720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721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722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723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724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725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726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727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728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729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730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731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732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733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734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735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736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737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738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739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740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741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742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743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744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745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746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747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748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749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750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751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752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753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754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755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756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757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758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759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760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761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762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763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764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765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766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767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768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769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770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771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772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773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774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775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776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777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781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779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778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782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780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783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784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785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786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787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788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789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790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791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792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793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794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795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796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797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798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468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470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646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471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472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473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474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475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476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477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478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479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480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481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482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483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484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485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486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487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488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489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490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491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492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493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494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495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657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686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681</v>
      </c>
      <c r="B3" s="204" t="s">
        <v>684</v>
      </c>
      <c r="E3" s="206" t="s">
        <v>799</v>
      </c>
      <c r="F3" s="207"/>
      <c r="G3" s="206" t="s">
        <v>800</v>
      </c>
      <c r="H3" s="207"/>
      <c r="I3" s="206" t="s">
        <v>801</v>
      </c>
      <c r="J3" s="207"/>
      <c r="K3" s="206" t="s">
        <v>688</v>
      </c>
    </row>
    <row r="4" spans="1:11" hidden="1" x14ac:dyDescent="0.2">
      <c r="B4" t="s">
        <v>683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681</v>
      </c>
      <c r="B5" s="74"/>
      <c r="D5" s="202" t="str">
        <f>_xlfn.IFNA(VLOOKUP(E$4,'Escala Docente'!$C$8:$AZ$326,2,FALSE),"SIN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Docente'!$C$8:$AZ$326,2,FALSE),"SIN ESPEC")</f>
        <v>Maestro Materia Especial</v>
      </c>
      <c r="G5" s="202" t="str">
        <f>F5</f>
        <v>Maestro Materia Especial</v>
      </c>
      <c r="H5" s="202" t="str">
        <f>_xlfn.IFNA(VLOOKUP(I$4,'Escala Docente'!$C$8:$AZ$326,2,FALSE),"SIN ESPEC")</f>
        <v>Prol Jor (13-515) 16 horas</v>
      </c>
      <c r="I5" s="202" t="str">
        <f>H5</f>
        <v>Prol Jor (13-515) 16 horas</v>
      </c>
      <c r="J5" s="202" t="str">
        <f>_xlfn.IFNA(VLOOKUP(K$4,'Escala Docente'!$C$8:$AZ$326,2,FALSE),"SIN ESPEC")</f>
        <v>SIN ESPEC</v>
      </c>
      <c r="K5" s="202" t="str">
        <f>J5</f>
        <v>SIN ESPEC</v>
      </c>
    </row>
    <row r="6" spans="1:11" ht="12.75" customHeight="1" x14ac:dyDescent="0.2">
      <c r="A6" t="s">
        <v>658</v>
      </c>
      <c r="C6" s="8">
        <v>0</v>
      </c>
      <c r="D6" s="209">
        <f>_xlfn.IFNA(VLOOKUP(E$4,'Escala Docente'!$C$8:$AZ$326,4,FALSE),0)</f>
        <v>18390.419999999998</v>
      </c>
      <c r="E6" s="203">
        <f>ROUND(D6*E$1/30,2)</f>
        <v>18390.419999999998</v>
      </c>
      <c r="F6" s="209">
        <f>_xlfn.IFNA(VLOOKUP(G$4,'Escala Docente'!$C$8:$AZ$326,4,FALSE),0)</f>
        <v>75346.399999999994</v>
      </c>
      <c r="G6" s="203">
        <f>ROUND(F6*G$1/30,2)</f>
        <v>75346.399999999994</v>
      </c>
      <c r="H6" s="209">
        <f>_xlfn.IFNA(VLOOKUP(I$4,'Escala Docente'!$C$8:$AZ$326,4,FALSE),0)</f>
        <v>192439.82</v>
      </c>
      <c r="I6" s="203">
        <f>ROUND(H6*I$1/30,2)</f>
        <v>192439.82</v>
      </c>
      <c r="J6" s="209">
        <f>_xlfn.IFNA(VLOOKUP(K$4,'Escala Docente'!$C$8:$AZ$326,4,FALSE),0)</f>
        <v>0</v>
      </c>
      <c r="K6" s="203">
        <f>ROUND(J6*K$1/30,2)</f>
        <v>0</v>
      </c>
    </row>
    <row r="7" spans="1:11" ht="12.75" customHeight="1" x14ac:dyDescent="0.2">
      <c r="A7" t="s">
        <v>659</v>
      </c>
      <c r="C7" s="8">
        <f>Valores!F91</f>
        <v>0</v>
      </c>
      <c r="D7" s="209">
        <f>_xlfn.IFNA(VLOOKUP(E$4,'Escala Docente'!$C$8:$AZ$326,34,FALSE),0)</f>
        <v>6999.9999999999891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Docente'!$C$8:$AZ$326,34,FALSE),0)</f>
        <v>35000</v>
      </c>
      <c r="G7" s="203">
        <f>IF($E7&gt;0,0,ROUND($F7*G$1/30,2))</f>
        <v>35000</v>
      </c>
      <c r="H7" s="209">
        <f>_xlfn.IFNA(VLOOKUP(I$4,'Escala Docente'!$C$8:$AZ$326,34,FALSE),0)</f>
        <v>0</v>
      </c>
      <c r="I7" s="203">
        <f>IF($E7&gt;0,0,ROUND($H7*I$1/30,2))</f>
        <v>0</v>
      </c>
      <c r="J7" s="209">
        <f>_xlfn.IFNA(VLOOKUP(K$4,'Escala Docente'!$C$8:$AZ$326,34,FALSE),0)</f>
        <v>0</v>
      </c>
      <c r="K7" s="203">
        <f>IF($E7&gt;0,0,ROUND($J7*K$1/30,2))</f>
        <v>0</v>
      </c>
    </row>
    <row r="8" spans="1:11" ht="12.75" customHeight="1" x14ac:dyDescent="0.2">
      <c r="A8" t="s">
        <v>660</v>
      </c>
      <c r="C8" s="8">
        <f>Valores!F98</f>
        <v>108631.74</v>
      </c>
      <c r="D8" s="209">
        <f>_xlfn.IFNA(VLOOKUP(E$4,'Escala Docente'!$C$8:$AZ$326,24,FALSE),0)</f>
        <v>7579.5</v>
      </c>
      <c r="E8" s="203">
        <f>IF((ROUND(D8*E$1/30,2)+(ROUND(F8*$G$1/30,2))+ROUND(H8*$I$1/30,2)+ROUND(J8*$K$1/30,2))&gt;C8,C8,(ROUND(D8*E$1/30,2)+ROUND(F8*$G$1/30,2)+ROUND(H8*$I$1/30,2)+ROUND(J8*$K$1/30,2)))</f>
        <v>61895.38</v>
      </c>
      <c r="F8" s="209">
        <f>_xlfn.IFNA(VLOOKUP(G$4,'Escala Docente'!$C$8:$AZ$326,24,FALSE),0)</f>
        <v>54315.88</v>
      </c>
      <c r="G8" s="203">
        <f>IF($E8&gt;0,0,ROUND($F8*G$1/30,2))</f>
        <v>0</v>
      </c>
      <c r="H8" s="209">
        <f>_xlfn.IFNA(VLOOKUP(I$4,'Escala Docente'!$C$8:$AZ$326,24,FALSE),0)</f>
        <v>0</v>
      </c>
      <c r="I8" s="203">
        <f>IF($E8&gt;0,0,ROUND($H8*I$1/30,2))</f>
        <v>0</v>
      </c>
      <c r="J8" s="209">
        <f>_xlfn.IFNA(VLOOKUP(K$4,'Escala Docente'!$C$8:$AZ$326,24,FALSE),0)</f>
        <v>0</v>
      </c>
      <c r="K8" s="203">
        <f>IF($E8&gt;0,0,ROUND($J8*K$1/30,2))</f>
        <v>0</v>
      </c>
    </row>
    <row r="9" spans="1:11" ht="12.75" customHeight="1" x14ac:dyDescent="0.2">
      <c r="A9" t="s">
        <v>661</v>
      </c>
      <c r="C9" s="8">
        <v>0</v>
      </c>
      <c r="D9" s="209">
        <f>_xlfn.IFNA(VLOOKUP(E$4,'Escala Docente'!$C$8:$AZ$326,13,FALSE),0)</f>
        <v>7894.11</v>
      </c>
      <c r="E9" s="203">
        <f>ROUND(D9*E$1/30,2)</f>
        <v>7894.11</v>
      </c>
      <c r="F9" s="209">
        <f>_xlfn.IFNA(VLOOKUP(G$4,'Escala Docente'!$C$8:$AZ$326,13,FALSE),0)</f>
        <v>67049.36</v>
      </c>
      <c r="G9" s="203">
        <f>ROUND(F9*G$1/30,2)</f>
        <v>67049.36</v>
      </c>
      <c r="H9" s="209">
        <f>_xlfn.IFNA(VLOOKUP(I$4,'Escala Docente'!$C$8:$AZ$326,13,FALSE),0)</f>
        <v>0</v>
      </c>
      <c r="I9" s="203">
        <f>ROUND(H9*I$1/30,2)</f>
        <v>0</v>
      </c>
      <c r="J9" s="209">
        <f>_xlfn.IFNA(VLOOKUP(K$4,'Escala Docente'!$C$8:$AZ$326,13,FALSE),0)</f>
        <v>0</v>
      </c>
      <c r="K9" s="203">
        <f>ROUND(J9*K$1/30,2)</f>
        <v>0</v>
      </c>
    </row>
    <row r="10" spans="1:11" ht="12.75" customHeight="1" x14ac:dyDescent="0.2">
      <c r="A10" t="s">
        <v>662</v>
      </c>
      <c r="C10" s="8">
        <f>IF('Escala Docente'!$F$4="NO",Valores!F47,Valores!F47/2)</f>
        <v>48169.84</v>
      </c>
      <c r="D10" s="209">
        <f>_xlfn.IFNA(VLOOKUP(E$4,'Escala Docente'!$C$8:$AZ$326,16,FALSE),0)</f>
        <v>4158.18</v>
      </c>
      <c r="E10" s="203">
        <f>IF((ROUND(D10*E$1/30,2)+(ROUND(F10*$G$1/30,2))+ROUND(H10*$I$1/30,2)+ROUND(J10*$K$1/30,2))&gt;C10,C10,(ROUND(D10*E$1/30,2)+ROUND(F10*$G$1/30,2)+ROUND(H10*$I$1/30,2)+ROUND(J10*$K$1/30,2)))</f>
        <v>48169.84</v>
      </c>
      <c r="F10" s="209">
        <f>_xlfn.IFNA(VLOOKUP(G$4,'Escala Docente'!$C$8:$AZ$326,16,FALSE),0)</f>
        <v>26002.29</v>
      </c>
      <c r="G10" s="203">
        <f>IF($E10&gt;0,0,ROUND($F10*G$1/30,2))</f>
        <v>0</v>
      </c>
      <c r="H10" s="209">
        <f>_xlfn.IFNA(VLOOKUP(I$4,'Escala Docente'!$C$8:$AZ$326,16,FALSE),0)</f>
        <v>22176.959999999999</v>
      </c>
      <c r="I10" s="203">
        <f>IF($E10&gt;0,0,ROUND($H10*I$1/30,2))</f>
        <v>0</v>
      </c>
      <c r="J10" s="209">
        <f>_xlfn.IFNA(VLOOKUP(K$4,'Escala Docente'!$C$8:$AZ$326,16,FALSE),0)</f>
        <v>0</v>
      </c>
      <c r="K10" s="203">
        <f>IF($E10&gt;0,0,ROUND($J10*K$1/30,2))</f>
        <v>0</v>
      </c>
    </row>
    <row r="11" spans="1:11" x14ac:dyDescent="0.2">
      <c r="A11" t="s">
        <v>663</v>
      </c>
      <c r="C11" s="8">
        <f>Valores!F26</f>
        <v>1622.32</v>
      </c>
      <c r="D11" s="209">
        <f>_xlfn.IFNA(VLOOKUP(E$4,'Escala Docente'!$C$8:$AZ$326,27,FALSE),0)</f>
        <v>0</v>
      </c>
      <c r="E11" s="203">
        <f>ROUND(D11*E$1/30,2)</f>
        <v>0</v>
      </c>
      <c r="F11" s="209">
        <f>_xlfn.IFNA(VLOOKUP(G$4,'Escala Docente'!$C$8:$AZ$326,27,FALSE),0)</f>
        <v>0</v>
      </c>
      <c r="G11" s="203">
        <f>IF(E11&gt;=C11,0,IF((F11*G$1/30)&gt;(E11-C11),F11*G$1/30,E11-C11))</f>
        <v>0</v>
      </c>
      <c r="H11" s="209">
        <f>_xlfn.IFNA(VLOOKUP(I$4,'Escala Docente'!$C$8:$AZ$326,27,FALSE),0)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Docente'!$C$8:$AZ$326,27,FALSE),0)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664</v>
      </c>
      <c r="C12" s="8">
        <v>0</v>
      </c>
      <c r="D12" s="209">
        <f>_xlfn.IFNA(VLOOKUP(E$4,'Escala Docente'!$C$8:$AZ$326,6,FALSE),0)</f>
        <v>0</v>
      </c>
      <c r="E12" s="203">
        <f>ROUND(D12*E$1/30,2)</f>
        <v>0</v>
      </c>
      <c r="F12" s="209">
        <f>_xlfn.IFNA(VLOOKUP(G$4,'Escala Docente'!$C$8:$AZ$326,6,FALSE),0)</f>
        <v>0</v>
      </c>
      <c r="G12" s="203">
        <f>ROUND(F12*G$1/30,2)</f>
        <v>0</v>
      </c>
      <c r="H12" s="209">
        <f>_xlfn.IFNA(VLOOKUP(I$4,'Escala Docente'!$C$8:$AZ$326,6,FALSE),0)</f>
        <v>0</v>
      </c>
      <c r="I12" s="203">
        <f>ROUND(H12*I$1/30,2)</f>
        <v>0</v>
      </c>
      <c r="J12" s="209">
        <f>_xlfn.IFNA(VLOOKUP(K$4,'Escala Docente'!$C$8:$AZ$326,6,FALSE),0)</f>
        <v>0</v>
      </c>
      <c r="K12" s="203">
        <f>ROUND(J12*K$1/30,2)</f>
        <v>0</v>
      </c>
    </row>
    <row r="13" spans="1:11" ht="12.75" customHeight="1" x14ac:dyDescent="0.2">
      <c r="A13" t="s">
        <v>676</v>
      </c>
      <c r="C13" s="8">
        <v>0</v>
      </c>
      <c r="D13" s="209">
        <f>_xlfn.IFNA(VLOOKUP(E$4,'Escala Docente'!$C$8:$AZ$326,15,FALSE),0)</f>
        <v>0</v>
      </c>
      <c r="E13" s="203">
        <f>ROUND(D13*E$1/30,2)</f>
        <v>0</v>
      </c>
      <c r="F13" s="209">
        <f>_xlfn.IFNA(VLOOKUP(G$4,'Escala Docente'!$C$8:$AZ$326,15,FALSE),0)</f>
        <v>32936.269999999997</v>
      </c>
      <c r="G13" s="203">
        <f>ROUND(F13*G$1/30,2)</f>
        <v>32936.269999999997</v>
      </c>
      <c r="H13" s="209">
        <f>_xlfn.IFNA(VLOOKUP(I$4,'Escala Docente'!$C$8:$AZ$326,15,FALSE),0)</f>
        <v>0</v>
      </c>
      <c r="I13" s="203">
        <f>ROUND(H13*I$1/30,2)</f>
        <v>0</v>
      </c>
      <c r="J13" s="209">
        <f>_xlfn.IFNA(VLOOKUP(K$4,'Escala Docente'!$C$8:$AZ$326,15,FALSE),0)</f>
        <v>0</v>
      </c>
      <c r="K13" s="203">
        <f>ROUND(J13*K$1/30,2)</f>
        <v>0</v>
      </c>
    </row>
    <row r="14" spans="1:11" ht="12.75" customHeight="1" x14ac:dyDescent="0.2">
      <c r="A14" t="s">
        <v>665</v>
      </c>
      <c r="C14" s="8">
        <v>0</v>
      </c>
      <c r="D14" s="209">
        <f>_xlfn.IFNA(VLOOKUP(E$4,'Escala Docente'!$C$8:$AZ$326,8,FALSE),0)</f>
        <v>0</v>
      </c>
      <c r="E14" s="203">
        <f>ROUND(D14*E$1/30,2)</f>
        <v>0</v>
      </c>
      <c r="F14" s="209">
        <f>_xlfn.IFNA(VLOOKUP(G$4,'Escala Docente'!$C$8:$AZ$326,8,FALSE),0)</f>
        <v>0</v>
      </c>
      <c r="G14" s="203">
        <f>ROUND(F14*G$1/30,2)</f>
        <v>0</v>
      </c>
      <c r="H14" s="209">
        <f>_xlfn.IFNA(VLOOKUP(I$4,'Escala Docente'!$C$8:$AZ$326,8,FALSE),0)</f>
        <v>0</v>
      </c>
      <c r="I14" s="203">
        <f>ROUND(H14*I$1/30,2)</f>
        <v>0</v>
      </c>
      <c r="J14" s="209">
        <f>_xlfn.IFNA(VLOOKUP(K$4,'Escala Docente'!$C$8:$AZ$326,8,FALSE),0)</f>
        <v>0</v>
      </c>
      <c r="K14" s="203">
        <f>ROUND(J14*K$1/30,2)</f>
        <v>0</v>
      </c>
    </row>
    <row r="15" spans="1:11" ht="12.75" customHeight="1" x14ac:dyDescent="0.2">
      <c r="A15" t="s">
        <v>666</v>
      </c>
      <c r="C15" s="8">
        <f>Valores!D5</f>
        <v>39667.43</v>
      </c>
      <c r="D15" s="209">
        <f>_xlfn.IFNA(VLOOKUP(E$4,'Escala Docente'!$C$8:$AZ$326,14,FALSE),0)</f>
        <v>7933.5</v>
      </c>
      <c r="E15" s="203">
        <f>IF((ROUND(D15*E$1/30,2)+(ROUND(F15*$G$1/30,2))+ROUND(H15*$I$1/30,2)+ROUND(J15*$K$1/30,2))&gt;C15,C15,(ROUND(D15*E$1/30,2)+ROUND(F15*$G$1/30,2)+ROUND(H15*$I$1/30,2)+ROUND(J15*$K$1/30,2)))</f>
        <v>39667.43</v>
      </c>
      <c r="F15" s="209">
        <f>_xlfn.IFNA(VLOOKUP(G$4,'Escala Docente'!$C$8:$AZ$326,14,FALSE),0)</f>
        <v>39667.43</v>
      </c>
      <c r="G15" s="203">
        <f>IF($E15&gt;0,0,ROUND($F15*G$1/30,2))</f>
        <v>0</v>
      </c>
      <c r="H15" s="209">
        <f>_xlfn.IFNA(VLOOKUP(I$4,'Escala Docente'!$C$8:$AZ$326,14,FALSE),0)</f>
        <v>0</v>
      </c>
      <c r="I15" s="203">
        <f>IF($E15&gt;0,0,ROUND($H15*I$1/30,2))</f>
        <v>0</v>
      </c>
      <c r="J15" s="209">
        <f>_xlfn.IFNA(VLOOKUP(K$4,'Escala Docente'!$C$8:$AZ$326,14,FALSE),0)</f>
        <v>0</v>
      </c>
      <c r="K15" s="203">
        <f>IF($E15&gt;0,0,ROUND($J15*K$1/30,2))</f>
        <v>0</v>
      </c>
    </row>
    <row r="16" spans="1:11" x14ac:dyDescent="0.2">
      <c r="A16" t="s">
        <v>667</v>
      </c>
      <c r="C16" s="8">
        <f>Valores!F25</f>
        <v>2434.81</v>
      </c>
      <c r="D16" s="209">
        <f>_xlfn.IFNA(VLOOKUP(E$4,'Escala Docente'!$C$8:$AZ$326,25,FALSE),0)</f>
        <v>195.06</v>
      </c>
      <c r="E16" s="203">
        <f>ROUND(D16*E$1/30,2)</f>
        <v>195.06</v>
      </c>
      <c r="F16" s="209">
        <f>_xlfn.IFNA(VLOOKUP(G$4,'Escala Docente'!$C$8:$AZ$326,25,FALSE),0)</f>
        <v>1622.32</v>
      </c>
      <c r="G16" s="203">
        <f>IF(E16&gt;=C16,0,IF((F16*G$1/30)&gt;(E16-C16),F16*G$1/30,E16-C16))</f>
        <v>1622.32</v>
      </c>
      <c r="H16" s="209">
        <f>_xlfn.IFNA(VLOOKUP(I$4,'Escala Docente'!$C$8:$AZ$326,25,FALSE),0)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Docente'!$C$8:$AZ$326,25,FALSE),0)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680</v>
      </c>
      <c r="C17" s="8">
        <v>0</v>
      </c>
      <c r="D17" s="209">
        <f>_xlfn.IFNA(VLOOKUP(E$4,'Escala Docente'!$C$8:$AZ$326,22,FALSE),0)</f>
        <v>0</v>
      </c>
      <c r="E17" s="203">
        <f>ROUND(D17*E$1/30,2)</f>
        <v>0</v>
      </c>
      <c r="F17" s="209">
        <f>_xlfn.IFNA(VLOOKUP(G$4,'Escala Docente'!$C$8:$AZ$326,22,FALSE),0)</f>
        <v>0</v>
      </c>
      <c r="G17" s="203">
        <f>ROUND(F17*G$1/30,2)</f>
        <v>0</v>
      </c>
      <c r="H17" s="209">
        <f>_xlfn.IFNA(VLOOKUP(I$4,'Escala Docente'!$C$8:$AZ$326,22,FALSE),0)</f>
        <v>0</v>
      </c>
      <c r="I17" s="203">
        <f>ROUND(H17*I$1/30,2)</f>
        <v>0</v>
      </c>
      <c r="J17" s="209">
        <f>_xlfn.IFNA(VLOOKUP(K$4,'Escala Docente'!$C$8:$AZ$326,22,FALSE),0)</f>
        <v>0</v>
      </c>
      <c r="K17" s="203">
        <f>ROUND(J17*K$1/30,2)</f>
        <v>0</v>
      </c>
    </row>
    <row r="18" spans="1:11" ht="12.75" customHeight="1" x14ac:dyDescent="0.2">
      <c r="A18" t="s">
        <v>679</v>
      </c>
      <c r="C18" s="8">
        <v>0</v>
      </c>
      <c r="D18" s="209">
        <f>_xlfn.IFNA(VLOOKUP(E$4,'Escala Docente'!$C$8:$AZ$326,10,FALSE),0)</f>
        <v>0</v>
      </c>
      <c r="E18" s="203">
        <f>ROUND(D18*E$1/30,2)</f>
        <v>0</v>
      </c>
      <c r="F18" s="209">
        <f>_xlfn.IFNA(VLOOKUP(G$4,'Escala Docente'!$C$8:$AZ$326,10,FALSE),0)</f>
        <v>0</v>
      </c>
      <c r="G18" s="203">
        <f>ROUND(F18*G$1/30,2)</f>
        <v>0</v>
      </c>
      <c r="H18" s="209">
        <f>_xlfn.IFNA(VLOOKUP(I$4,'Escala Docente'!$C$8:$AZ$326,10,FALSE),0)</f>
        <v>0</v>
      </c>
      <c r="I18" s="203">
        <f>ROUND(H18*I$1/30,2)</f>
        <v>0</v>
      </c>
      <c r="J18" s="209">
        <f>_xlfn.IFNA(VLOOKUP(K$4,'Escala Docente'!$C$8:$AZ$326,10,FALSE),0)</f>
        <v>0</v>
      </c>
      <c r="K18" s="203">
        <f>ROUND(J18*K$1/30,2)</f>
        <v>0</v>
      </c>
    </row>
    <row r="19" spans="1:11" ht="12.75" customHeight="1" x14ac:dyDescent="0.2">
      <c r="A19" s="102" t="s">
        <v>668</v>
      </c>
      <c r="B19" s="102"/>
      <c r="C19" s="8">
        <v>0</v>
      </c>
      <c r="D19" s="209">
        <f>_xlfn.IFNA(VLOOKUP(E$4,'Escala Docente'!$C$8:$AZ$326,12,FALSE),0)</f>
        <v>0</v>
      </c>
      <c r="E19" s="203">
        <f>ROUND(E6+E12+E18+E10+E17,2)*'Escala Docente'!$H$2</f>
        <v>0</v>
      </c>
      <c r="F19" s="209">
        <f>_xlfn.IFNA(VLOOKUP(G$4,'Escala Docente'!$C$8:$AZ$326,12,FALSE),0)</f>
        <v>0</v>
      </c>
      <c r="G19" s="203">
        <f>ROUND(G6+G12+G18+G10+G17,2)*'Escala Docente'!$H$2</f>
        <v>0</v>
      </c>
      <c r="H19" s="209">
        <f>_xlfn.IFNA(VLOOKUP(I$4,'Escala Docente'!$C$8:$AZ$326,12,FALSE),0)</f>
        <v>0</v>
      </c>
      <c r="I19" s="203">
        <f>ROUND(I6+I12+I18+I10+I17,2)*'Escala Docente'!$H$2</f>
        <v>0</v>
      </c>
      <c r="J19" s="209">
        <f>_xlfn.IFNA(VLOOKUP(K$4,'Escala Docente'!$C$8:$AZ$326,12,FALSE),0)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675</v>
      </c>
      <c r="C20" s="8">
        <v>0</v>
      </c>
      <c r="D20" s="209">
        <f>_xlfn.IFNA(VLOOKUP(E$4,'Escala Docente'!$C$8:$AZ$326,29,FALSE),0)</f>
        <v>0</v>
      </c>
      <c r="E20" s="203">
        <f>ROUND(D20*E$1/30,2)</f>
        <v>0</v>
      </c>
      <c r="F20" s="209">
        <f>_xlfn.IFNA(VLOOKUP(G$4,'Escala Docente'!$C$8:$AZ$326,29,FALSE),0)</f>
        <v>0</v>
      </c>
      <c r="G20" s="203">
        <f>ROUND(F20*G$1/30,2)</f>
        <v>0</v>
      </c>
      <c r="H20" s="209">
        <f>_xlfn.IFNA(VLOOKUP(I$4,'Escala Docente'!$C$8:$AZ$326,29,FALSE),0)</f>
        <v>0</v>
      </c>
      <c r="I20" s="203">
        <f>ROUND(H20*I$1/30,2)</f>
        <v>0</v>
      </c>
      <c r="J20" s="209">
        <f>_xlfn.IFNA(VLOOKUP(K$4,'Escala Docente'!$C$8:$AZ$326,29,FALSE),0)</f>
        <v>0</v>
      </c>
      <c r="K20" s="203">
        <f>ROUND(J20*K$1/30,2)</f>
        <v>0</v>
      </c>
    </row>
    <row r="21" spans="1:11" ht="12.75" customHeight="1" x14ac:dyDescent="0.2">
      <c r="A21" t="s">
        <v>669</v>
      </c>
      <c r="C21" s="8">
        <v>0</v>
      </c>
      <c r="D21" s="209">
        <f>_xlfn.IFNA(VLOOKUP(E$4,'Escala Docente'!$C$8:$AZ$326,18,FALSE),0)</f>
        <v>2482.8000000000002</v>
      </c>
      <c r="E21" s="203">
        <f>ROUND(D21*E$1/30,2)</f>
        <v>2482.8000000000002</v>
      </c>
      <c r="F21" s="209">
        <f>_xlfn.IFNA(VLOOKUP(G$4,'Escala Docente'!$C$8:$AZ$326,18,FALSE),0)</f>
        <v>36908.81</v>
      </c>
      <c r="G21" s="203">
        <f>ROUND(F21*G$1/30,2)</f>
        <v>36908.81</v>
      </c>
      <c r="H21" s="209">
        <f>_xlfn.IFNA(VLOOKUP(I$4,'Escala Docente'!$C$8:$AZ$326,18,FALSE),0)</f>
        <v>0</v>
      </c>
      <c r="I21" s="203">
        <f>ROUND(H21*I$1/30,2)</f>
        <v>0</v>
      </c>
      <c r="J21" s="209">
        <f>_xlfn.IFNA(VLOOKUP(K$4,'Escala Docente'!$C$8:$AZ$326,18,FALSE),0)</f>
        <v>0</v>
      </c>
      <c r="K21" s="203">
        <f>ROUND(J21*K$1/30,2)</f>
        <v>0</v>
      </c>
    </row>
    <row r="22" spans="1:11" ht="12.75" customHeight="1" x14ac:dyDescent="0.2">
      <c r="A22" s="102" t="s">
        <v>673</v>
      </c>
      <c r="B22" s="102"/>
      <c r="C22" s="8">
        <v>0</v>
      </c>
      <c r="D22" s="209">
        <f>_xlfn.IFNA(VLOOKUP(E$4,'Escala Docente'!$C$8:$AZ$326,26,FALSE),0)</f>
        <v>0</v>
      </c>
      <c r="E22" s="203">
        <f>ROUND(D22*E$1/30,2)</f>
        <v>0</v>
      </c>
      <c r="F22" s="209">
        <f>_xlfn.IFNA(VLOOKUP(G$4,'Escala Docente'!$C$8:$AZ$326,26,FALSE),0)</f>
        <v>0</v>
      </c>
      <c r="G22" s="203">
        <f>ROUND(F22*G$1/30,2)</f>
        <v>0</v>
      </c>
      <c r="H22" s="209">
        <f>_xlfn.IFNA(VLOOKUP(I$4,'Escala Docente'!$C$8:$AZ$326,26,FALSE),0)</f>
        <v>0</v>
      </c>
      <c r="I22" s="203">
        <f>ROUND(H22*I$1/30,2)</f>
        <v>0</v>
      </c>
      <c r="J22" s="209">
        <f>_xlfn.IFNA(VLOOKUP(K$4,'Escala Docente'!$C$8:$AZ$326,26,FALSE),0)</f>
        <v>0</v>
      </c>
      <c r="K22" s="203">
        <f>ROUND(J22*K$1/30,2)</f>
        <v>0</v>
      </c>
    </row>
    <row r="23" spans="1:11" ht="12.75" customHeight="1" x14ac:dyDescent="0.2">
      <c r="A23" t="s">
        <v>678</v>
      </c>
      <c r="C23" s="8">
        <v>0</v>
      </c>
      <c r="D23" s="209">
        <f>_xlfn.IFNA(VLOOKUP(E$4,'Escala Docente'!$C$8:$AZ$326,23,FALSE),0)</f>
        <v>0</v>
      </c>
      <c r="E23" s="203">
        <f>ROUND(D23*E$1/30,2)</f>
        <v>0</v>
      </c>
      <c r="F23" s="209">
        <f>_xlfn.IFNA(VLOOKUP(G$4,'Escala Docente'!$C$8:$AZ$326,23,FALSE),0)</f>
        <v>0</v>
      </c>
      <c r="G23" s="203">
        <f>ROUND(F23*G$1/30,2)</f>
        <v>0</v>
      </c>
      <c r="H23" s="209">
        <f>_xlfn.IFNA(VLOOKUP(I$4,'Escala Docente'!$C$8:$AZ$326,23,FALSE),0)</f>
        <v>0</v>
      </c>
      <c r="I23" s="203">
        <f>ROUND(H23*I$1/30,2)</f>
        <v>0</v>
      </c>
      <c r="J23" s="209">
        <f>_xlfn.IFNA(VLOOKUP(K$4,'Escala Docente'!$C$8:$AZ$326,23,FALSE),0)</f>
        <v>0</v>
      </c>
      <c r="K23" s="203">
        <f>ROUND(J23*K$1/30,2)</f>
        <v>0</v>
      </c>
    </row>
    <row r="24" spans="1:11" ht="12.75" customHeight="1" x14ac:dyDescent="0.2">
      <c r="A24" s="74" t="s">
        <v>689</v>
      </c>
      <c r="C24" s="8">
        <f>Valores!F39</f>
        <v>0</v>
      </c>
      <c r="D24" s="209">
        <f>_xlfn.IFNA(VLOOKUP(E$4,'Escala Docente'!$C$8:$AZ$326,35,FALSE),0)</f>
        <v>0</v>
      </c>
      <c r="E24" s="203">
        <f>ROUND(D24*E$1/30,2)</f>
        <v>0</v>
      </c>
      <c r="F24" s="209">
        <f>_xlfn.IFNA(VLOOKUP(G$4,'Escala Docente'!$C$8:$AZ$326,35,FALSE),0)</f>
        <v>0</v>
      </c>
      <c r="G24" s="203">
        <f>ROUND(F24*G$1/30,2)</f>
        <v>0</v>
      </c>
      <c r="H24" s="209">
        <f>_xlfn.IFNA(VLOOKUP(I$4,'Escala Docente'!$C$8:$AZ$326,35,FALSE),0)</f>
        <v>0</v>
      </c>
      <c r="I24" s="203">
        <f>ROUND(H24*I$1/30,2)</f>
        <v>0</v>
      </c>
      <c r="J24" s="209">
        <f>_xlfn.IFNA(VLOOKUP(K$4,'Escala Docente'!$C$8:$AZ$326,35,FALSE),0)</f>
        <v>0</v>
      </c>
      <c r="K24" s="203">
        <f>ROUND(J24*K$1/30,2)</f>
        <v>0</v>
      </c>
    </row>
    <row r="25" spans="1:11" ht="12.75" customHeight="1" x14ac:dyDescent="0.2">
      <c r="A25" t="s">
        <v>670</v>
      </c>
      <c r="C25" s="8">
        <f>IF('Escala Docente'!$F$4="NO",Valores!F64,Valores!F64/2)</f>
        <v>37094.620000000003</v>
      </c>
      <c r="D25" s="209">
        <f>_xlfn.IFNA(VLOOKUP(E$4,'Escala Docente'!$C$8:$AZ$326,30,FALSE),0)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Docente'!$C$8:$AZ$326,30,FALSE),0)</f>
        <v>0</v>
      </c>
      <c r="G25" s="203">
        <f>IF($E25&gt;0,0,ROUND($F25*G$1/30,2))</f>
        <v>0</v>
      </c>
      <c r="H25" s="209">
        <f>_xlfn.IFNA(VLOOKUP(I$4,'Escala Docente'!$C$8:$AZ$326,30,FALSE),0)</f>
        <v>0</v>
      </c>
      <c r="I25" s="203">
        <f>IF($E25&gt;0,0,ROUND($H25*I$1/30,2))</f>
        <v>0</v>
      </c>
      <c r="J25" s="209">
        <f>_xlfn.IFNA(VLOOKUP(K$4,'Escala Docente'!$C$8:$AZ$326,30,FALSE),0)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671</v>
      </c>
      <c r="C26" s="8">
        <f>Valores!F33</f>
        <v>70000</v>
      </c>
      <c r="D26" s="209">
        <f>_xlfn.IFNA(VLOOKUP(E$4,'Escala Docente'!$C$8:$AZ$326,33,FALSE),0)</f>
        <v>64639.652000000002</v>
      </c>
      <c r="E26" s="203">
        <f>IF((ROUND(D26*E$1/30,2)+(ROUND(F26*$G$1/30,2))+ROUND(H26*$I$1/30,2)+ROUND(J26*$K$1/30,2))&gt;C26,C26,(ROUND(D26*E$1/30,2)+ROUND(F26*$G$1/30,2)+ROUND(H26*$I$1/30,2)+ROUND(J26*$K$1/30,2)))</f>
        <v>70000</v>
      </c>
      <c r="F26" s="209">
        <f>_xlfn.IFNA(VLOOKUP(G$4,'Escala Docente'!$C$8:$AZ$326,33,FALSE),0)</f>
        <v>427441.05800000002</v>
      </c>
      <c r="G26" s="203">
        <f>IF($E26&gt;0,0,ROUND($F26*G$1/30,2))</f>
        <v>0</v>
      </c>
      <c r="H26" s="209">
        <f>_xlfn.IFNA(VLOOKUP(I$4,'Escala Docente'!$C$8:$AZ$326,33,FALSE),0)</f>
        <v>295098.07800000004</v>
      </c>
      <c r="I26" s="203">
        <f>IF($E26&gt;0,0,ROUND($H26*I$1/30,2))</f>
        <v>0</v>
      </c>
      <c r="J26" s="209">
        <f>_xlfn.IFNA(VLOOKUP(K$4,'Escala Docente'!$C$8:$AZ$326,33,FALSE),0)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672</v>
      </c>
      <c r="C27" s="8" t="e">
        <f>IF('Escala Docente'!$F$4="NO",Valores!#REF!,Valores!#REF!/2)</f>
        <v>#REF!</v>
      </c>
      <c r="D27" s="209">
        <f>_xlfn.IFNA(VLOOKUP(E$4,'Escala Docente'!$C$8:$AZ$326,31,FALSE),0)</f>
        <v>3709.4800000000005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Docente'!$C$8:$AZ$326,31,FALSE),0)</f>
        <v>18547.32</v>
      </c>
      <c r="G27" s="203" t="e">
        <f>IF($E27&gt;0,0,ROUND($F27*G$1/30,2))</f>
        <v>#REF!</v>
      </c>
      <c r="H27" s="209">
        <f>_xlfn.IFNA(VLOOKUP(I$4,'Escala Docente'!$C$8:$AZ$326,31,FALSE),0)</f>
        <v>0</v>
      </c>
      <c r="I27" s="203" t="e">
        <f>IF($E27&gt;0,0,ROUND($H27*I$1/30,2))</f>
        <v>#REF!</v>
      </c>
      <c r="J27" s="209">
        <f>_xlfn.IFNA(VLOOKUP(K$4,'Escala Docente'!$C$8:$AZ$326,31,FALSE),0)</f>
        <v>0</v>
      </c>
      <c r="K27" s="203" t="e">
        <f>IF($E27&gt;0,0,ROUND($J27*K$1/30,2))</f>
        <v>#REF!</v>
      </c>
    </row>
    <row r="28" spans="1:11" x14ac:dyDescent="0.2">
      <c r="A28" t="s">
        <v>674</v>
      </c>
      <c r="C28" s="8">
        <f>Valores!F63</f>
        <v>327.60000000000002</v>
      </c>
      <c r="D28" s="209">
        <f>_xlfn.IFNA(VLOOKUP(E$4,'Escala Docente'!$C$8:$AZ$326,36,FALSE),0)</f>
        <v>0</v>
      </c>
      <c r="E28" s="203">
        <f>ROUND(D28*E$1/30,2)</f>
        <v>0</v>
      </c>
      <c r="F28" s="209">
        <f>_xlfn.IFNA(VLOOKUP(G$4,'Escala Docente'!$C$8:$AZ$326,36,FALSE),0)</f>
        <v>0</v>
      </c>
      <c r="G28" s="203">
        <f>IF(E28&gt;=C28,0,IF((F28*G$1/30)&gt;(E28-C28),F28*G$1/30,E28-C28))</f>
        <v>0</v>
      </c>
      <c r="H28" s="209">
        <f>_xlfn.IFNA(VLOOKUP(I$4,'Escala Docente'!$C$8:$AZ$326,36,FALSE),0)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Docente'!$C$8:$AZ$326,36,FALSE),0)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677</v>
      </c>
      <c r="C29" s="8">
        <v>0</v>
      </c>
      <c r="D29" s="209">
        <f>_xlfn.IFNA(VLOOKUP(E$4,'Escala Docente'!$C$8:$AZ$326,11,FALSE),0)</f>
        <v>6257.85</v>
      </c>
      <c r="E29" s="210">
        <f>ROUND(IF('Escala Docente'!$H$2=0,IF(AND(MID(E$3,1,5)&lt;&gt;"13930",MID(E$3,1,5)&lt;&gt;"13940"),(SUM(E6+E12+E14+E18+E10+E17+E21)*Valores!$C$4),0),0),2)</f>
        <v>17260.77</v>
      </c>
      <c r="F29" s="209">
        <f>_xlfn.IFNA(VLOOKUP(G$4,'Escala Docente'!$C$8:$AZ$326,11,FALSE),0)</f>
        <v>34564.379999999997</v>
      </c>
      <c r="G29" s="210">
        <f>ROUND(IF('Escala Docente'!$H$2=0,IF(AND(MID(G$3,1,5)&lt;&gt;"13930",MID(G$3,1,5)&lt;&gt;"13940"),(SUM(G6+G12+G14+G18+G10+G17+G21)*Valores!$C$4),0),0),2)</f>
        <v>28063.8</v>
      </c>
      <c r="H29" s="209">
        <f>_xlfn.IFNA(VLOOKUP(I$4,'Escala Docente'!$C$8:$AZ$326,11,FALSE),0)</f>
        <v>53654.2</v>
      </c>
      <c r="I29" s="210">
        <f>ROUND(IF('Escala Docente'!$H$2=0,IF(AND(MID(I$3,1,5)&lt;&gt;"13930",MID(I$3,1,5)&lt;&gt;"13940"),(SUM(I6+I12+I14+I18+I10+I17+I21)*Valores!$C$4),0),0),2)</f>
        <v>48109.96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1" t="str">
        <f ca="1">MID(CELL("FILENAME",L41),FIND("[",CELL("FILENAME",L41))+1,FIND("]",CELL("FILENAME",L41))-FIND("[",CELL("FILENAME",L41))-1)</f>
        <v>Esc Doc 2024 02 Cba V 1 0.xlsx</v>
      </c>
      <c r="B1" s="241"/>
      <c r="C1" s="241"/>
      <c r="D1" s="241"/>
      <c r="E1" s="241"/>
      <c r="F1" s="241"/>
      <c r="G1" s="241"/>
      <c r="H1" s="241"/>
      <c r="I1" s="241"/>
      <c r="J1" s="24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2" t="s">
        <v>46</v>
      </c>
      <c r="B2" s="242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3" t="s">
        <v>496</v>
      </c>
      <c r="R3" s="243"/>
      <c r="S3" s="243"/>
      <c r="T3" s="244" t="s">
        <v>497</v>
      </c>
      <c r="U3" s="244"/>
      <c r="V3" s="244"/>
      <c r="W3" s="244"/>
      <c r="Y3" s="17"/>
    </row>
    <row r="4" spans="1:33" ht="19.5" x14ac:dyDescent="0.2">
      <c r="A4" s="13"/>
      <c r="B4" s="13"/>
      <c r="C4" s="29" t="s">
        <v>498</v>
      </c>
      <c r="D4" s="30" t="s">
        <v>53</v>
      </c>
      <c r="E4" s="30" t="s">
        <v>499</v>
      </c>
      <c r="F4" s="30" t="s">
        <v>500</v>
      </c>
      <c r="G4" s="31" t="s">
        <v>54</v>
      </c>
      <c r="H4" s="32" t="s">
        <v>55</v>
      </c>
      <c r="I4" s="33" t="s">
        <v>501</v>
      </c>
      <c r="J4" s="34" t="s">
        <v>502</v>
      </c>
      <c r="K4" s="35" t="s">
        <v>501</v>
      </c>
      <c r="Q4" s="36" t="s">
        <v>503</v>
      </c>
      <c r="R4" s="37" t="s">
        <v>504</v>
      </c>
      <c r="S4" s="37" t="s">
        <v>505</v>
      </c>
      <c r="T4" s="38" t="s">
        <v>506</v>
      </c>
      <c r="U4" s="39" t="s">
        <v>507</v>
      </c>
      <c r="V4" s="39" t="s">
        <v>508</v>
      </c>
      <c r="W4" s="39" t="s">
        <v>505</v>
      </c>
      <c r="X4" s="40" t="s">
        <v>509</v>
      </c>
      <c r="Y4" s="40" t="s">
        <v>510</v>
      </c>
    </row>
    <row r="5" spans="1:33" x14ac:dyDescent="0.2">
      <c r="A5" s="14" t="s">
        <v>72</v>
      </c>
      <c r="B5" s="15" t="s">
        <v>73</v>
      </c>
      <c r="C5" s="41" t="s">
        <v>75</v>
      </c>
      <c r="D5" s="42" t="s">
        <v>82</v>
      </c>
      <c r="E5" s="42" t="s">
        <v>511</v>
      </c>
      <c r="F5" s="43"/>
      <c r="G5" s="43" t="s">
        <v>83</v>
      </c>
      <c r="H5" s="43" t="s">
        <v>84</v>
      </c>
      <c r="I5" s="44" t="s">
        <v>512</v>
      </c>
      <c r="J5" s="45" t="s">
        <v>513</v>
      </c>
      <c r="K5" s="44" t="s">
        <v>514</v>
      </c>
      <c r="L5" s="46" t="s">
        <v>515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516</v>
      </c>
      <c r="B6" s="16" t="s">
        <v>517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518</v>
      </c>
      <c r="B7" s="16" t="s">
        <v>519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498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520</v>
      </c>
      <c r="B8" s="16" t="s">
        <v>521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522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523</v>
      </c>
      <c r="B9" s="56" t="s">
        <v>524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525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526</v>
      </c>
      <c r="B10" s="56" t="s">
        <v>527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528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529</v>
      </c>
      <c r="B11" s="16" t="s">
        <v>530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531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532</v>
      </c>
      <c r="B12" s="16" t="s">
        <v>533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534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535</v>
      </c>
      <c r="B13" s="16" t="s">
        <v>536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537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538</v>
      </c>
      <c r="B14" s="16" t="s">
        <v>539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540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541</v>
      </c>
      <c r="B15" s="16" t="s">
        <v>542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543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544</v>
      </c>
      <c r="B16" s="16" t="s">
        <v>545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64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546</v>
      </c>
      <c r="B17" s="16" t="s">
        <v>547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548</v>
      </c>
      <c r="B18" s="16" t="s">
        <v>549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550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551</v>
      </c>
      <c r="B19" s="16" t="s">
        <v>552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553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554</v>
      </c>
      <c r="B20" s="16" t="s">
        <v>555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65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556</v>
      </c>
      <c r="B21" s="16" t="s">
        <v>557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556</v>
      </c>
      <c r="B22" s="16" t="s">
        <v>558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556</v>
      </c>
      <c r="B23" s="16" t="s">
        <v>559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556</v>
      </c>
      <c r="B24" s="16" t="s">
        <v>560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556</v>
      </c>
      <c r="B25" s="16" t="s">
        <v>561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556</v>
      </c>
      <c r="B26" s="16" t="s">
        <v>562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556</v>
      </c>
      <c r="B27" s="16" t="s">
        <v>563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556</v>
      </c>
      <c r="B28" s="16" t="s">
        <v>564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556</v>
      </c>
      <c r="B29" s="16" t="s">
        <v>565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556</v>
      </c>
      <c r="B30" s="16" t="s">
        <v>566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556</v>
      </c>
      <c r="B31" s="16" t="s">
        <v>567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556</v>
      </c>
      <c r="B32" s="16" t="s">
        <v>568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569</v>
      </c>
      <c r="Y34" s="17"/>
    </row>
    <row r="35" spans="1:25" ht="12.75" customHeight="1" x14ac:dyDescent="0.2">
      <c r="A35" s="53" t="s">
        <v>570</v>
      </c>
      <c r="B35" s="16" t="s">
        <v>571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572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573</v>
      </c>
      <c r="B36" s="16" t="s">
        <v>574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575</v>
      </c>
      <c r="M36" s="16" t="s">
        <v>576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577</v>
      </c>
      <c r="B37" s="16" t="s">
        <v>578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579</v>
      </c>
      <c r="M37" s="16" t="s">
        <v>580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581</v>
      </c>
      <c r="B38" s="16" t="s">
        <v>582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583</v>
      </c>
      <c r="B39" s="16" t="s">
        <v>584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572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585</v>
      </c>
      <c r="B40" s="16" t="s">
        <v>586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572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587</v>
      </c>
      <c r="B41" s="16" t="s">
        <v>588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572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589</v>
      </c>
      <c r="B42" s="16" t="s">
        <v>590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572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591</v>
      </c>
      <c r="B43" s="16" t="s">
        <v>592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593</v>
      </c>
      <c r="B44" s="16" t="s">
        <v>594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575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595</v>
      </c>
      <c r="B45" s="16" t="s">
        <v>596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575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597</v>
      </c>
      <c r="B46" s="16" t="s">
        <v>598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575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599</v>
      </c>
      <c r="B47" s="16" t="s">
        <v>600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575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2023-10-29T22:53:58Z</cp:lastPrinted>
  <dcterms:created xsi:type="dcterms:W3CDTF">2005-08-10T23:49:01Z</dcterms:created>
  <dcterms:modified xsi:type="dcterms:W3CDTF">2024-03-22T15:11:57Z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