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444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Docente'!$A$7:$BI$326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'Valores'!$A$1:$J$103</definedName>
    <definedName name="_xlnm.Print_Area" localSheetId="1">'Escala Docente'!$A$1:$AN$326</definedName>
    <definedName name="_xlnm.Print_Area" localSheetId="4">'UPC'!$A$2:$J$37</definedName>
    <definedName name="_xlnm.Print_Area" localSheetId="0">'Valores'!$A$1:$G$90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<sst xmlns="http://schemas.openxmlformats.org/spreadsheetml/2006/main" count="1637" uniqueCount="844">
  <si>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</si>
  <si>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</si>
  <si>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</si>
  <si>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</si>
  <si>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</si>
  <si>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</si>
  <si>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</si>
  <si>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</si>
  <si>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</si>
  <si>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</si>
  <si>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</si>
  <si>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</si>
  <si>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</si>
  <si>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</si>
  <si>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</si>
  <si>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</si>
  <si>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</si>
  <si>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</si>
  <si>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</si>
  <si>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</si>
  <si>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</si>
  <si>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</si>
  <si>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</si>
  <si>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</si>
  <si>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</si>
  <si>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</si>
  <si>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</si>
  <si>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</si>
  <si>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</si>
  <si>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</si>
  <si>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</si>
  <si>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</si>
  <si>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</si>
  <si>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</si>
  <si>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</si>
  <si>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</si>
  <si>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</si>
  <si>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</si>
  <si>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</si>
  <si>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</si>
  <si>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</si>
  <si>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</si>
  <si>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</si>
  <si>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</si>
  <si>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</si>
  <si>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</si>
  <si>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</si>
  <si>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</si>
  <si>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</si>
  <si>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</si>
  <si>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</si>
  <si>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</si>
  <si>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</si>
  <si>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</si>
  <si>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</si>
  <si>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</si>
  <si>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</si>
  <si>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</si>
  <si>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</si>
  <si>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</si>
  <si>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</si>
  <si>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</si>
  <si>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</si>
  <si>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</si>
  <si>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</si>
  <si>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</si>
  <si>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</si>
  <si>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</si>
  <si>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</si>
  <si>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</si>
  <si>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</si>
  <si>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</si>
  <si>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</si>
  <si>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</si>
  <si>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</si>
  <si>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</si>
  <si>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</si>
  <si>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</si>
  <si>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</si>
  <si>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</si>
  <si>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</si>
  <si>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</si>
  <si>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</si>
  <si>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</si>
  <si>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</si>
  <si>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</si>
  <si>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</si>
  <si>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</si>
  <si>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</si>
  <si>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</si>
  <si>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</si>
  <si>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</si>
  <si>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</si>
  <si>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</si>
  <si>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</si>
  <si>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</si>
  <si>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</si>
  <si>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</si>
  <si>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</si>
  <si>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</si>
  <si>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</si>
  <si>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</si>
  <si>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</si>
  <si>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</si>
  <si>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</si>
  <si>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</si>
  <si>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</si>
  <si>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</si>
  <si>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</si>
  <si>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</si>
  <si>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</si>
  <si>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</si>
  <si>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</si>
  <si>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</si>
  <si>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</si>
  <si>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</si>
  <si>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</si>
  <si>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</si>
  <si>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</si>
  <si>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</si>
  <si>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</si>
  <si>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</si>
  <si>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</si>
  <si>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</si>
  <si>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</si>
  <si>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</si>
  <si>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</si>
  <si>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</si>
  <si>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</si>
  <si>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</si>
  <si>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</si>
  <si>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</si>
  <si>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</si>
  <si>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</si>
  <si>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</si>
  <si>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</si>
  <si>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</si>
  <si>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</si>
  <si>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</si>
  <si>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</si>
  <si>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</si>
  <si>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</si>
  <si>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</si>
  <si>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</si>
  <si>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</si>
  <si>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</si>
  <si>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</si>
  <si>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</si>
  <si>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</si>
  <si>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</si>
  <si>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</si>
  <si>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</si>
  <si>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</si>
  <si>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</si>
  <si>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</si>
  <si>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</si>
  <si>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</si>
  <si>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</si>
  <si>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</si>
  <si>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</si>
  <si>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</si>
  <si>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</si>
  <si>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</si>
  <si>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</si>
  <si>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</si>
  <si>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</si>
  <si>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</si>
  <si>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</si>
  <si>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</si>
  <si>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</si>
  <si>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</si>
  <si>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</si>
  <si>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</si>
  <si>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</si>
  <si>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</si>
  <si>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</si>
  <si>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</si>
  <si>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</si>
  <si>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</si>
  <si>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</si>
  <si>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</si>
  <si>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</si>
  <si>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</si>
  <si>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</si>
  <si>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</si>
  <si>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</si>
  <si>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</si>
  <si>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</si>
  <si>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</si>
  <si>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</si>
  <si>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</si>
  <si>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</si>
  <si>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</si>
  <si>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</si>
  <si>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</si>
  <si>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</si>
  <si>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</si>
  <si>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</si>
  <si>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</si>
  <si>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</si>
  <si>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</si>
  <si>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</si>
  <si>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</si>
  <si>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</si>
  <si>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</si>
  <si>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</si>
  <si>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</si>
  <si>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</si>
  <si>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</si>
  <si>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</si>
  <si>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</si>
  <si>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</si>
  <si>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</si>
  <si>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</si>
  <si>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</si>
  <si>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</si>
  <si>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</si>
  <si>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</si>
  <si>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</si>
  <si>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</si>
  <si>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</si>
  <si>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</si>
  <si>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</si>
  <si>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</si>
  <si>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</si>
  <si>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</si>
  <si>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</si>
  <si>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</si>
  <si>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</si>
  <si>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</si>
  <si>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</si>
  <si>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</si>
  <si>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</si>
  <si>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</si>
  <si>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</si>
  <si>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</si>
  <si>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</si>
  <si>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</si>
  <si>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</si>
  <si>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</si>
  <si>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</si>
  <si>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</si>
  <si>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</si>
  <si>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</si>
  <si>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</si>
  <si>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</si>
  <si>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</si>
  <si>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</si>
  <si>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</si>
  <si>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</si>
  <si>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</si>
  <si>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</si>
  <si>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</si>
  <si>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</si>
  <si>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</si>
  <si>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</si>
  <si>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</si>
  <si>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</si>
  <si>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</si>
  <si>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</si>
  <si>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</si>
  <si>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</si>
  <si>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</si>
  <si>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</si>
  <si>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</si>
  <si>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</si>
  <si>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</si>
  <si>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</si>
  <si>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</si>
  <si>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</si>
  <si>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</si>
  <si>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</si>
  <si>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</si>
  <si>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</si>
  <si>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</si>
  <si>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</si>
  <si>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</si>
  <si>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</si>
  <si>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</si>
  <si>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</si>
  <si>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</si>
  <si>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</si>
  <si>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</si>
  <si>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</si>
  <si>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</si>
  <si>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</si>
  <si>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</si>
  <si>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</si>
  <si>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</si>
  <si>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</si>
  <si>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</si>
  <si>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</si>
  <si>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</si>
  <si>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</si>
  <si>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</si>
  <si>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</si>
  <si>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</si>
  <si>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</si>
  <si>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</si>
  <si>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</si>
  <si>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</si>
  <si>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</si>
  <si>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</si>
  <si>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</si>
  <si>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</si>
  <si>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</si>
  <si>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</si>
  <si>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</si>
  <si>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</si>
  <si>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</si>
  <si>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</si>
  <si>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</si>
  <si>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</si>
  <si>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</si>
  <si>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</si>
  <si>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</si>
  <si>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</si>
  <si>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</si>
  <si>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</si>
  <si>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</si>
  <si>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</si>
  <si>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</si>
  <si>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</si>
  <si>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</si>
  <si>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</si>
  <si>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</si>
  <si>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</si>
  <si>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</si>
  <si>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</si>
  <si>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</si>
  <si>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</si>
  <si>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</si>
  <si>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</si>
  <si>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</si>
  <si>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</si>
  <si>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</si>
  <si>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</si>
  <si>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</si>
  <si>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</si>
  <si>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</si>
  <si>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</si>
  <si>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</si>
  <si>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</si>
  <si>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</si>
  <si>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</si>
  <si>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</si>
  <si>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</si>
  <si>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</si>
  <si>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</si>
  <si>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</si>
  <si>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</si>
  <si>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</si>
  <si>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</si>
  <si>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</si>
  <si>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</si>
  <si>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</si>
  <si>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</si>
  <si>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</si>
  <si>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</si>
  <si>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</si>
  <si>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</si>
  <si>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</si>
  <si>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</si>
  <si>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</si>
  <si>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</si>
  <si>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</si>
  <si>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</si>
  <si>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</si>
  <si>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</si>
  <si>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</si>
  <si>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</si>
  <si>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</si>
  <si>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</si>
  <si>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</si>
  <si>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</si>
  <si>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</si>
  <si>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</si>
  <si>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</si>
  <si>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</si>
  <si>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</si>
  <si>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</si>
  <si>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</si>
  <si>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</si>
  <si>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</si>
  <si>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</si>
  <si>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</si>
  <si>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</si>
  <si>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</si>
  <si>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</si>
  <si>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</si>
  <si>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</si>
  <si>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</si>
  <si>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</si>
  <si>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</si>
  <si>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</si>
  <si>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</si>
  <si>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</si>
  <si>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</si>
  <si>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</si>
  <si>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</si>
  <si>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</si>
  <si>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</si>
  <si>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</si>
  <si>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</si>
  <si>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</si>
  <si>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</si>
  <si>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</si>
  <si>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</si>
  <si>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</si>
  <si>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</si>
  <si>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</si>
  <si>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</si>
  <si>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</si>
  <si>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</si>
  <si>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</si>
  <si>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</si>
  <si>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</si>
  <si>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</si>
  <si>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</si>
  <si>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</si>
  <si>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</si>
  <si>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</si>
  <si>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</si>
  <si>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</si>
  <si>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</si>
  <si>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</si>
  <si>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</si>
  <si>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</si>
  <si>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</si>
  <si>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</si>
  <si>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</si>
  <si>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</si>
  <si>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</si>
  <si>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</si>
  <si>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</si>
  <si>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</si>
  <si>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</si>
  <si>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</si>
  <si>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</si>
  <si>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</si>
  <si>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</si>
  <si>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</si>
  <si>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</si>
  <si>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</si>
  <si>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</si>
  <si>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</si>
  <si>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</si>
  <si>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</si>
  <si>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</si>
  <si>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</si>
  <si>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</si>
  <si>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</si>
  <si>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</si>
  <si>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</si>
  <si>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</si>
  <si>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</si>
  <si>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</si>
  <si>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</si>
  <si>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</si>
  <si>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</si>
  <si>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</si>
  <si>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</si>
  <si>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</si>
  <si>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</si>
  <si>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</si>
  <si>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</si>
  <si>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</si>
  <si>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</si>
  <si>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</si>
  <si>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</si>
  <si>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</si>
  <si>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</si>
  <si>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</si>
  <si>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</si>
  <si>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</si>
  <si>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</si>
  <si>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</si>
  <si>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</si>
  <si>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</si>
  <si>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</si>
  <si>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</si>
  <si>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</si>
  <si>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</si>
  <si>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</si>
  <si>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</si>
  <si>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</si>
  <si>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</si>
  <si>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</si>
  <si>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</si>
  <si>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</si>
  <si>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</si>
  <si>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</si>
  <si>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</si>
  <si>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</si>
  <si>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</si>
  <si>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</si>
  <si>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</si>
  <si>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</si>
  <si>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</si>
  <si>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</si>
  <si>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</si>
  <si>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</si>
  <si>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</si>
  <si>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</si>
  <si>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</si>
  <si>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</si>
  <si>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</si>
  <si>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</si>
  <si>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</si>
  <si>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</si>
  <si>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</si>
  <si>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</si>
  <si>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</si>
  <si>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</si>
  <si>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</si>
  <si>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</si>
  <si>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</si>
  <si>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</si>
  <si>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</si>
  <si>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</si>
  <si>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</si>
  <si>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</si>
  <si>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</si>
  <si>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</si>
  <si>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</si>
  <si>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</si>
  <si>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</si>
  <si>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</si>
  <si>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</si>
  <si>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</si>
  <si>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</si>
  <si>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</si>
  <si>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</si>
  <si>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</si>
  <si>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</si>
  <si>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</si>
  <si>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</si>
  <si>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</si>
  <si>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</si>
  <si>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</si>
  <si>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</si>
  <si>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</si>
  <si>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</si>
  <si>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</si>
  <si>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</si>
  <si>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</si>
  <si>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</si>
  <si>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</si>
  <si>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</si>
  <si>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</si>
  <si>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</si>
  <si>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</si>
  <si>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</si>
  <si>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</si>
  <si>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</si>
  <si>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</si>
  <si>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</si>
  <si>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</si>
  <si>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</si>
  <si>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</si>
  <si>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</si>
  <si>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</si>
  <si>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</si>
  <si>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</si>
  <si>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</si>
  <si>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</si>
  <si>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</si>
  <si>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</si>
  <si>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</si>
  <si>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</si>
  <si>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</si>
  <si>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</si>
  <si>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</si>
  <si>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</si>
  <si>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</si>
  <si>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</si>
  <si>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</si>
  <si>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</si>
  <si>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</si>
  <si>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</si>
  <si>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</si>
  <si>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</si>
  <si>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</si>
  <si>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</si>
  <si>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</si>
  <si>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</si>
  <si>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</si>
  <si>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</si>
  <si>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</si>
  <si>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</si>
  <si>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</si>
  <si>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</si>
  <si>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</si>
  <si>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</si>
  <si>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</si>
  <si>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</si>
  <si>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</si>
  <si>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</si>
  <si>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</si>
  <si>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</si>
  <si>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</si>
  <si>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</si>
  <si>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</si>
  <si>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</si>
  <si>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</si>
  <si>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</si>
  <si>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</si>
  <si>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</si>
  <si>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</si>
  <si>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</si>
  <si>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</si>
  <si>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</si>
  <si>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</si>
  <si>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</si>
  <si>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</si>
  <si>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</si>
  <si>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</si>
  <si>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</si>
  <si>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</si>
  <si>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</si>
  <si>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</si>
  <si>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</si>
  <si>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</si>
  <si>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</si>
  <si>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</si>
  <si>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</si>
  <si>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</si>
  <si>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</si>
  <si>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</si>
  <si>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</si>
  <si>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</si>
  <si>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</si>
  <si>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</si>
  <si>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</si>
  <si>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</si>
  <si>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</si>
  <si>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</si>
  <si>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</si>
  <si>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</si>
  <si>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</si>
  <si>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</si>
  <si>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</si>
  <si>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</si>
  <si>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</si>
  <si>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</si>
  <si>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</si>
  <si>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</si>
  <si>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</si>
  <si>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</si>
  <si>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</si>
  <si>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</si>
  <si>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</si>
  <si>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</si>
  <si>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</si>
  <si>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</si>
  <si>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</si>
  <si>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</si>
  <si>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</si>
  <si>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</si>
  <si>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</si>
  <si>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</si>
  <si>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</si>
  <si>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</si>
  <si>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</si>
  <si>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</si>
  <si>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</si>
  <si>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</si>
  <si>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</si>
  <si>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</si>
  <si>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</si>
  <si>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</si>
  <si>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</si>
  <si>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</si>
  <si>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</si>
  <si>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</si>
  <si>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</si>
  <si>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</si>
  <si>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</si>
  <si>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</si>
  <si>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</si>
  <si>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</si>
  <si>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</si>
  <si>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</si>
  <si>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</si>
  <si>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</si>
  <si>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</si>
  <si>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</si>
  <si>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</si>
  <si>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</si>
  <si>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</si>
  <si>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</si>
  <si>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</si>
  <si>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</si>
  <si>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</si>
  <si>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</si>
  <si>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</si>
  <si>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</si>
  <si>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</si>
  <si>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</si>
  <si>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</si>
  <si>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</si>
  <si>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</si>
  <si>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</si>
  <si>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</si>
  <si>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</si>
  <si>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</si>
  <si>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</si>
  <si>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</si>
  <si>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</si>
  <si>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</si>
  <si>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</si>
  <si>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</si>
  <si>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</si>
  <si>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</si>
  <si>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</si>
  <si>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</si>
  <si>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</si>
  <si>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</si>
  <si>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</si>
  <si>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</si>
  <si>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</si>
  <si>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</si>
  <si>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</si>
  <si>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</si>
  <si>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</si>
  <si>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</si>
  <si>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</si>
  <si>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</si>
  <si>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</si>
  <si>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</si>
  <si>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</si>
  <si>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</si>
  <si>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</si>
  <si>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</si>
  <si>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</si>
  <si>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</si>
  <si>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</si>
  <si>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</si>
  <si>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</si>
  <si>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</si>
  <si>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</si>
  <si>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</si>
  <si>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</si>
  <si>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</si>
  <si>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</si>
  <si>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</si>
  <si>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</si>
  <si>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</si>
  <si>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</si>
  <si>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</si>
  <si>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</si>
  <si>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</si>
  <si>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</si>
  <si>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</si>
  <si>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</si>
  <si>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</si>
  <si>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</si>
  <si>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</si>
  <si>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</si>
  <si>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</si>
  <si>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</si>
  <si>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</si>
  <si>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</si>
  <si>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</si>
  <si>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</si>
  <si>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</si>
  <si>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</si>
  <si>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</si>
  <si>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</si>
  <si>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</si>
  <si>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</si>
  <si>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</si>
  <si>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</si>
  <si>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</si>
  <si>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</si>
  <si>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</si>
  <si>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</si>
  <si>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</si>
  <si>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</si>
  <si>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</si>
  <si>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</si>
  <si>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</si>
  <si>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</si>
  <si>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</si>
  <si>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</si>
  <si>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</si>
  <si>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</si>
  <si>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</si>
  <si>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</si>
  <si>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</si>
  <si>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</si>
  <si>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</si>
  <si>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</si>
  <si>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</si>
  <si>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</si>
  <si>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</si>
  <si>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</si>
  <si>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</si>
  <si>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</si>
  <si>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</si>
  <si>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</si>
  <si>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</si>
  <si>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</si>
  <si>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</si>
  <si>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</si>
  <si>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</si>
  <si>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</si>
  <si>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Ad. Extr 13515</t>
  </si>
  <si>
    <t>Bon Compe Rem Cargos Dir Sup</t>
  </si>
  <si>
    <t>(*)</t>
  </si>
  <si>
    <t>Gto. Inh. Lab. Doc 07 13-181</t>
  </si>
  <si>
    <t>Adic Rem Cgo 4 DIR JURISDICCION Y 13444</t>
  </si>
  <si>
    <t>Adic Rem Cgo 10 DIR 2da CTRO DEP 13294/5</t>
  </si>
  <si>
    <t>Descto. Obra Social D.I.P.E.</t>
  </si>
  <si>
    <t>C672400</t>
  </si>
  <si>
    <t>Obra Social D.I.P.E. ANSSAL</t>
  </si>
  <si>
    <t>C672440</t>
  </si>
  <si>
    <t>C662200</t>
  </si>
  <si>
    <t>Contribución Patronal Jubilatorio</t>
  </si>
  <si>
    <t>Contribución Patronal Jubilatoria Complementaria</t>
  </si>
  <si>
    <t>C662300</t>
  </si>
  <si>
    <t>Contribución Patronal Jubilatoria Adicional (Ley 8024 - Art. 6 Inc. c)</t>
  </si>
  <si>
    <t>C662400</t>
  </si>
  <si>
    <t>Aporte Patronal ANSSAL DIPE</t>
  </si>
  <si>
    <t>C661460</t>
  </si>
  <si>
    <t xml:space="preserve"> Aporte Patronal O.S. DIPE</t>
  </si>
  <si>
    <t>C661470</t>
  </si>
  <si>
    <t>Aporte Patronal al APROSS</t>
  </si>
  <si>
    <t>C670920</t>
  </si>
  <si>
    <t>Fondo Solidario Leyes 10,724-10,955</t>
  </si>
  <si>
    <t>C660040</t>
  </si>
  <si>
    <t>Item profesionalidad Docente</t>
  </si>
  <si>
    <t>Adic_ a Cta_ de Fut_ Aumentos No Rem</t>
  </si>
  <si>
    <t>Coeficiente</t>
  </si>
  <si>
    <t>C112310</t>
  </si>
  <si>
    <t>C119560</t>
  </si>
  <si>
    <t>Adic  a Cta de Fut Aumentos No Rem</t>
  </si>
  <si>
    <t>nuevo</t>
  </si>
  <si>
    <t>"2024 ‐ AÑO DE LA DEFENSA DE LA VIDA, LA LIBERTAD Y LA PROPIEDAD”</t>
  </si>
  <si>
    <t>Ap Mat Did Rem. 910</t>
  </si>
  <si>
    <t>C120444</t>
  </si>
  <si>
    <t>Comp Prov Pérdida Inc Doc CGO1</t>
  </si>
  <si>
    <t>Comp Prov Pérdida Inc Doc CGO 2</t>
  </si>
  <si>
    <t>Comp Prov Pérdida Inc Doc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</si>
</sst>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  <numFmt numFmtId="185" formatCode="#,##0.00_ ;[Red]\-#,##0.00\ "/>
  </numFmts>
  <fonts count="42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Segoe UI"/>
      <family val="2"/>
    </font>
    <font>
      <b/>
      <sz val="5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  <xf numFmtId="44" fontId="38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167" fontId="37" fillId="6" borderId="0" xfId="23" applyNumberFormat="1" applyFont="1" applyFill="1" applyBorder="1" applyAlignment="1">
      <alignment horizontal="center"/>
      <protection/>
    </xf>
    <xf numFmtId="185" fontId="0" fillId="0" borderId="0" xfId="0" applyNumberFormat="1"/>
    <xf numFmtId="167" fontId="17" fillId="0" borderId="10" xfId="23" applyNumberFormat="1" applyFont="1" applyBorder="1" applyAlignment="1">
      <alignment horizontal="center" vertical="center" wrapText="1"/>
      <protection/>
    </xf>
    <xf numFmtId="167" fontId="19" fillId="0" borderId="0" xfId="23" applyNumberFormat="1" applyFont="1" applyBorder="1" applyAlignment="1">
      <alignment horizontal="center" wrapText="1"/>
      <protection/>
    </xf>
    <xf numFmtId="172" fontId="0" fillId="0" borderId="0" xfId="22" applyNumberFormat="1">
      <alignment/>
    </xf>
    <xf numFmtId="167" fontId="37" fillId="10" borderId="0" xfId="23" applyNumberFormat="1" applyFont="1" applyFill="1" applyBorder="1" applyAlignment="1">
      <alignment horizontal="center"/>
      <protection/>
    </xf>
    <xf numFmtId="167" fontId="39" fillId="8" borderId="1" xfId="23" applyNumberFormat="1" applyFont="1" applyFill="1" applyBorder="1" applyAlignment="1">
      <alignment horizontal="center" vertical="center" wrapText="1"/>
      <protection/>
    </xf>
    <xf numFmtId="0" fontId="40" fillId="0" borderId="10" xfId="23" applyFont="1" applyBorder="1" applyAlignment="1">
      <alignment horizontal="left" vertical="center"/>
      <protection/>
    </xf>
    <xf numFmtId="0" fontId="40" fillId="0" borderId="10" xfId="23" applyFont="1" applyBorder="1" applyAlignment="1">
      <alignment horizontal="center" vertical="center"/>
      <protection/>
    </xf>
    <xf numFmtId="0" fontId="40" fillId="0" borderId="0" xfId="23" applyFont="1" applyBorder="1" applyAlignment="1">
      <alignment horizontal="center" vertical="center"/>
      <protection/>
    </xf>
    <xf numFmtId="167" fontId="41" fillId="0" borderId="10" xfId="20" applyFont="1" applyBorder="1" applyAlignment="1" applyProtection="1">
      <alignment horizontal="center" vertical="center"/>
      <protection/>
    </xf>
    <xf numFmtId="177" fontId="0" fillId="0" borderId="0" xfId="0" applyNumberFormat="1" applyBorder="1"/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167" fontId="19" fillId="0" borderId="0" xfId="23" applyNumberFormat="1" applyFont="1" applyBorder="1" applyAlignment="1">
      <alignment horizont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  <cellStyle name="Moned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400050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workbookViewId="0" topLeftCell="A1">
      <pane ySplit="1" topLeftCell="A95" activePane="bottomLeft" state="frozen"/>
      <selection pane="bottomLeft" activeCell="F109" sqref="F109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603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 customHeight="1">
      <c r="A2" s="80" t="s">
        <v>4</v>
      </c>
      <c r="B2" s="81" t="s">
        <v>5</v>
      </c>
      <c r="C2" s="211">
        <v>82.78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 customHeight="1">
      <c r="A3" s="80" t="s">
        <v>4</v>
      </c>
      <c r="B3" s="81" t="s">
        <v>6</v>
      </c>
      <c r="C3" s="6">
        <v>0.15</v>
      </c>
      <c r="I3" s="81">
        <v>1</v>
      </c>
      <c r="J3" s="83">
        <v>0.25</v>
      </c>
      <c r="L3" s="136">
        <v>2</v>
      </c>
      <c r="N3" s="213">
        <v>0.2</v>
      </c>
    </row>
    <row r="4" spans="1:14" s="81" customFormat="1" ht="12.75" customHeight="1">
      <c r="A4" s="80" t="s">
        <v>4</v>
      </c>
      <c r="B4" s="80" t="s">
        <v>656</v>
      </c>
      <c r="C4" s="6">
        <v>0.25</v>
      </c>
      <c r="H4" s="84"/>
      <c r="I4" s="81">
        <v>2</v>
      </c>
      <c r="J4" s="83">
        <v>0.25</v>
      </c>
      <c r="L4" s="137">
        <v>3</v>
      </c>
      <c r="N4" s="213">
        <v>0.4</v>
      </c>
    </row>
    <row r="5" spans="1:14" s="81" customFormat="1" ht="12.75" customHeight="1">
      <c r="A5" s="80" t="s">
        <v>4</v>
      </c>
      <c r="B5" s="81" t="s">
        <v>7</v>
      </c>
      <c r="C5" s="6">
        <v>0.4</v>
      </c>
      <c r="D5" s="95">
        <f>ROUND((('Escala Docente'!F142*C5)),2)</f>
        <v>42317.14</v>
      </c>
      <c r="E5" s="95">
        <f>ROUND(D5/15,2)</f>
        <v>2821.14</v>
      </c>
      <c r="F5" s="84">
        <v>48169.84</v>
      </c>
      <c r="G5" s="84"/>
      <c r="I5" s="81">
        <v>3</v>
      </c>
      <c r="J5" s="83">
        <v>0.25</v>
      </c>
      <c r="L5" s="137">
        <v>4</v>
      </c>
      <c r="N5" s="213">
        <v>0.6</v>
      </c>
    </row>
    <row r="6" spans="1:14" s="81" customFormat="1" ht="12.75" customHeight="1">
      <c r="A6" s="85" t="s">
        <v>602</v>
      </c>
      <c r="B6" s="85"/>
      <c r="C6" s="76"/>
      <c r="D6" s="85"/>
      <c r="E6" s="85"/>
      <c r="F6" s="85"/>
      <c r="G6" s="85"/>
      <c r="H6" s="228">
        <f>105792.84/1278</f>
        <v>82.78</v>
      </c>
      <c r="I6" s="81">
        <v>4</v>
      </c>
      <c r="J6" s="83">
        <v>0.25</v>
      </c>
      <c r="L6" s="137">
        <v>5</v>
      </c>
      <c r="N6" s="213">
        <v>0.8</v>
      </c>
    </row>
    <row r="7" spans="1:14" s="81" customFormat="1" ht="12.75" customHeight="1">
      <c r="A7" s="162" t="s">
        <v>4</v>
      </c>
      <c r="B7" s="163" t="s">
        <v>9</v>
      </c>
      <c r="C7" s="175">
        <v>2807.15</v>
      </c>
      <c r="D7" s="95"/>
      <c r="E7" s="83"/>
      <c r="G7" s="175">
        <v>1655.57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 customHeight="1">
      <c r="A8" s="162" t="s">
        <v>4</v>
      </c>
      <c r="B8" s="164" t="s">
        <v>10</v>
      </c>
      <c r="C8" s="175">
        <v>103748.61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 customHeight="1">
      <c r="A9" s="162" t="s">
        <v>4</v>
      </c>
      <c r="B9" s="164" t="s">
        <v>11</v>
      </c>
      <c r="C9" s="101">
        <v>104016.7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 customHeight="1">
      <c r="A10" s="162" t="s">
        <v>4</v>
      </c>
      <c r="B10" s="164" t="s">
        <v>616</v>
      </c>
      <c r="C10" s="101">
        <v>84706.85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 customHeight="1">
      <c r="A11" s="162" t="s">
        <v>4</v>
      </c>
      <c r="B11" s="164" t="s">
        <v>811</v>
      </c>
      <c r="C11" s="101">
        <v>73808.02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 customHeight="1">
      <c r="A12" s="162" t="s">
        <v>4</v>
      </c>
      <c r="B12" s="163" t="s">
        <v>12</v>
      </c>
      <c r="C12" s="101">
        <v>187792.57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 customHeight="1">
      <c r="A13" s="162" t="s">
        <v>4</v>
      </c>
      <c r="B13" s="164" t="s">
        <v>13</v>
      </c>
      <c r="C13" s="101">
        <v>75819.66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29" t="str">
        <f ca="1">MID(CELL("FILENAME",N30),FIND("[",CELL("FILENAME",N30))+1,FIND("]",CELL("FILENAME",N30))-FIND("[",CELL("FILENAME",N30))-6)</f>
        <v>Esc Doc 2024 03 Cba V 1 1</v>
      </c>
      <c r="N13" s="229"/>
    </row>
    <row r="14" spans="1:13" s="81" customFormat="1" ht="12.75" customHeight="1">
      <c r="A14" s="162" t="s">
        <v>4</v>
      </c>
      <c r="B14" s="164" t="s">
        <v>14</v>
      </c>
      <c r="C14" s="175">
        <v>82427.08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03</v>
      </c>
    </row>
    <row r="15" spans="1:13" s="81" customFormat="1" ht="12.75" customHeight="1">
      <c r="A15" s="162" t="s">
        <v>4</v>
      </c>
      <c r="B15" s="164" t="s">
        <v>604</v>
      </c>
      <c r="C15" s="8">
        <v>119603.61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2024</v>
      </c>
    </row>
    <row r="16" spans="1:13" s="81" customFormat="1" ht="12.75" customHeight="1">
      <c r="A16" s="162" t="s">
        <v>4</v>
      </c>
      <c r="B16" s="164" t="s">
        <v>812</v>
      </c>
      <c r="C16" s="101">
        <v>71528.26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MARZO</v>
      </c>
    </row>
    <row r="17" spans="1:13" s="81" customFormat="1" ht="12.75" customHeight="1">
      <c r="A17" s="85" t="s">
        <v>602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631</v>
      </c>
    </row>
    <row r="18" spans="1:13" s="81" customFormat="1" ht="12.75" customHeight="1">
      <c r="A18" s="162" t="s">
        <v>4</v>
      </c>
      <c r="B18" s="163" t="s">
        <v>15</v>
      </c>
      <c r="C18" s="101">
        <v>882.88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632</v>
      </c>
    </row>
    <row r="19" spans="1:13" s="81" customFormat="1" ht="12.75" customHeight="1">
      <c r="A19" s="162" t="s">
        <v>4</v>
      </c>
      <c r="B19" s="163" t="s">
        <v>625</v>
      </c>
      <c r="C19" s="101">
        <v>39374.32</v>
      </c>
      <c r="D19" s="95"/>
      <c r="E19" s="216" t="s">
        <v>569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633</v>
      </c>
    </row>
    <row r="20" spans="1:13" s="81" customFormat="1" ht="12.75" customHeight="1">
      <c r="A20" s="162" t="s">
        <v>4</v>
      </c>
      <c r="B20" s="163" t="s">
        <v>626</v>
      </c>
      <c r="C20" s="101">
        <v>38971.76</v>
      </c>
      <c r="D20" s="95">
        <f>C20*1.129</f>
        <v>43999.117040000005</v>
      </c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634</v>
      </c>
    </row>
    <row r="21" spans="1:13" s="81" customFormat="1" ht="12.75" customHeight="1">
      <c r="A21" s="85" t="s">
        <v>602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635</v>
      </c>
    </row>
    <row r="22" spans="1:13" s="81" customFormat="1" ht="12.75" customHeight="1">
      <c r="A22" s="80" t="s">
        <v>4</v>
      </c>
      <c r="B22" s="86" t="s">
        <v>627</v>
      </c>
      <c r="C22" s="175">
        <v>37751.3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636</v>
      </c>
    </row>
    <row r="23" spans="1:13" s="81" customFormat="1" ht="12.75" customHeight="1">
      <c r="A23" s="80" t="s">
        <v>4</v>
      </c>
      <c r="B23" s="86" t="s">
        <v>624</v>
      </c>
      <c r="C23" s="175">
        <v>35136.41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637</v>
      </c>
    </row>
    <row r="24" spans="1:13" s="81" customFormat="1" ht="12.75" customHeight="1">
      <c r="A24" s="85" t="s">
        <v>602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638</v>
      </c>
    </row>
    <row r="25" spans="1:13" s="81" customFormat="1" ht="12.75" customHeight="1">
      <c r="A25" s="80" t="s">
        <v>4</v>
      </c>
      <c r="B25" s="86" t="s">
        <v>16</v>
      </c>
      <c r="C25" s="8">
        <v>1730.69</v>
      </c>
      <c r="D25" s="95"/>
      <c r="F25" s="87">
        <v>2434.81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639</v>
      </c>
    </row>
    <row r="26" spans="1:13" s="81" customFormat="1" ht="12.75" customHeight="1">
      <c r="A26" s="80" t="s">
        <v>4</v>
      </c>
      <c r="B26" s="86" t="s">
        <v>17</v>
      </c>
      <c r="C26" s="8">
        <v>1730.69</v>
      </c>
      <c r="D26" s="95"/>
      <c r="F26" s="87">
        <f>C26</f>
        <v>1730.69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640</v>
      </c>
    </row>
    <row r="27" spans="1:13" s="81" customFormat="1" ht="12.75" customHeight="1">
      <c r="A27" s="85" t="s">
        <v>602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641</v>
      </c>
    </row>
    <row r="28" spans="1:13" s="81" customFormat="1" ht="12.75" customHeight="1">
      <c r="A28" s="80" t="s">
        <v>4</v>
      </c>
      <c r="B28" s="81" t="s">
        <v>18</v>
      </c>
      <c r="C28" s="101">
        <v>69.36</v>
      </c>
      <c r="F28" s="87">
        <f>F25</f>
        <v>2434.81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642</v>
      </c>
    </row>
    <row r="29" spans="1:10" s="81" customFormat="1" ht="13.5" customHeight="1" thickBot="1">
      <c r="A29" s="91" t="s">
        <v>4</v>
      </c>
      <c r="B29" s="92" t="s">
        <v>19</v>
      </c>
      <c r="C29" s="101">
        <v>57.76</v>
      </c>
      <c r="D29" s="92"/>
      <c r="E29" s="92"/>
      <c r="F29" s="93">
        <f>F26</f>
        <v>1730.69</v>
      </c>
      <c r="G29" s="175">
        <v>22.7</v>
      </c>
      <c r="I29" s="81">
        <v>27</v>
      </c>
      <c r="J29" s="83">
        <v>1.3</v>
      </c>
    </row>
    <row r="30" spans="1:10" s="81" customFormat="1" ht="12.75" customHeight="1" thickTop="1">
      <c r="A30" s="75" t="s">
        <v>602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 customHeight="1">
      <c r="A31" s="96" t="s">
        <v>4</v>
      </c>
      <c r="B31" s="96" t="s">
        <v>841</v>
      </c>
      <c r="C31" s="101">
        <v>35000</v>
      </c>
      <c r="D31" s="97">
        <f>C31/C33</f>
        <v>15.000000000000023</v>
      </c>
      <c r="E31" s="98"/>
      <c r="F31" s="97"/>
      <c r="G31" s="98"/>
      <c r="I31" s="81">
        <v>29</v>
      </c>
      <c r="J31" s="83">
        <v>1.4</v>
      </c>
    </row>
    <row r="32" spans="1:10" s="81" customFormat="1" ht="12.75" customHeight="1">
      <c r="A32" s="96" t="s">
        <v>4</v>
      </c>
      <c r="B32" s="96" t="s">
        <v>842</v>
      </c>
      <c r="C32" s="101">
        <v>70000</v>
      </c>
      <c r="D32" s="97"/>
      <c r="E32" s="98"/>
      <c r="F32" s="97"/>
      <c r="G32" s="97"/>
      <c r="I32" s="81">
        <v>30</v>
      </c>
      <c r="J32" s="83">
        <v>1.5</v>
      </c>
    </row>
    <row r="33" spans="1:10" s="81" customFormat="1" ht="12.75" customHeight="1">
      <c r="A33" s="96" t="s">
        <v>4</v>
      </c>
      <c r="B33" s="96" t="s">
        <v>843</v>
      </c>
      <c r="C33" s="101">
        <v>2333.33333333333</v>
      </c>
      <c r="D33" s="98"/>
      <c r="E33" s="97"/>
      <c r="F33" s="97">
        <v>70000</v>
      </c>
      <c r="G33" s="97"/>
      <c r="I33" s="81">
        <v>31</v>
      </c>
      <c r="J33" s="83">
        <v>1.5</v>
      </c>
    </row>
    <row r="34" spans="1:13" s="81" customFormat="1" ht="12.75" customHeight="1">
      <c r="A34" s="96" t="s">
        <v>8</v>
      </c>
      <c r="B34" s="96" t="s">
        <v>802</v>
      </c>
      <c r="C34" s="101">
        <v>4666.666666666667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customHeight="1" thickBot="1">
      <c r="A35" s="96" t="s">
        <v>8</v>
      </c>
      <c r="B35" s="96" t="s">
        <v>803</v>
      </c>
      <c r="C35" s="101">
        <v>2333.3333333333335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643</v>
      </c>
      <c r="C36" s="101">
        <v>0</v>
      </c>
      <c r="D36" s="98"/>
      <c r="E36" s="97"/>
      <c r="F36" s="97"/>
      <c r="G36" s="97"/>
      <c r="I36">
        <v>34</v>
      </c>
      <c r="J36" s="3">
        <v>1.5</v>
      </c>
      <c r="M36" s="7"/>
    </row>
    <row r="37" spans="1:10" ht="12.75" customHeight="1">
      <c r="A37" s="96" t="s">
        <v>8</v>
      </c>
      <c r="B37" s="96" t="s">
        <v>644</v>
      </c>
      <c r="C37" s="101">
        <v>0</v>
      </c>
      <c r="D37" s="98"/>
      <c r="E37" s="97"/>
      <c r="F37" s="97">
        <f>(C36*2)+0</f>
        <v>0</v>
      </c>
      <c r="G37" s="75"/>
      <c r="H37" s="5"/>
      <c r="I37">
        <v>35</v>
      </c>
      <c r="J37" s="3">
        <v>1.5</v>
      </c>
    </row>
    <row r="38" spans="1:10" ht="12.75" customHeight="1">
      <c r="A38" s="75" t="s">
        <v>602</v>
      </c>
      <c r="B38" s="75"/>
      <c r="C38" s="78"/>
      <c r="D38" s="75"/>
      <c r="E38" s="75"/>
      <c r="F38" s="75"/>
      <c r="G38" s="5"/>
      <c r="H38" s="5"/>
      <c r="I38">
        <v>36</v>
      </c>
      <c r="J38" s="3">
        <v>1.5</v>
      </c>
    </row>
    <row r="39" spans="1:10" ht="12.75" customHeight="1">
      <c r="A39" s="74" t="s">
        <v>8</v>
      </c>
      <c r="B39" t="s">
        <v>20</v>
      </c>
      <c r="C39" s="77">
        <v>0</v>
      </c>
      <c r="D39" s="5"/>
      <c r="E39" s="5"/>
      <c r="F39" s="181">
        <f>C39</f>
        <v>0</v>
      </c>
      <c r="G39" s="5"/>
      <c r="H39" s="5"/>
      <c r="I39">
        <v>39</v>
      </c>
      <c r="J39" s="3">
        <v>1.5</v>
      </c>
    </row>
    <row r="40" spans="1:10" ht="12.75" customHeight="1">
      <c r="A40" s="74" t="s">
        <v>8</v>
      </c>
      <c r="B40" s="74" t="s">
        <v>653</v>
      </c>
      <c r="C40" s="77">
        <f>C39/30</f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 customHeight="1">
      <c r="A41" s="74" t="s">
        <v>8</v>
      </c>
      <c r="B41" s="74" t="s">
        <v>807</v>
      </c>
      <c r="C41" s="77">
        <v>0</v>
      </c>
      <c r="D41" s="5"/>
      <c r="E41" s="5"/>
      <c r="F41" s="180"/>
      <c r="G41" s="75"/>
      <c r="H41" s="5"/>
      <c r="I41">
        <v>41</v>
      </c>
      <c r="J41" s="3">
        <v>1.5</v>
      </c>
    </row>
    <row r="42" spans="1:10" ht="12.75" customHeight="1">
      <c r="A42" s="75" t="s">
        <v>602</v>
      </c>
      <c r="B42" s="75"/>
      <c r="C42" s="78"/>
      <c r="D42" s="75"/>
      <c r="E42" s="75"/>
      <c r="F42" s="75"/>
      <c r="G42" s="175">
        <v>10255.46</v>
      </c>
      <c r="H42" s="5"/>
      <c r="I42">
        <v>42</v>
      </c>
      <c r="J42" s="3">
        <v>1.5</v>
      </c>
    </row>
    <row r="43" spans="1:10" ht="12.75" customHeight="1">
      <c r="A43" s="74" t="s">
        <v>4</v>
      </c>
      <c r="B43" s="2" t="s">
        <v>630</v>
      </c>
      <c r="C43" s="100">
        <v>26083.37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629</v>
      </c>
      <c r="C44" s="101">
        <v>27739.24</v>
      </c>
      <c r="D44" s="6"/>
      <c r="E44" s="165"/>
      <c r="F44" s="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628</v>
      </c>
      <c r="C45" s="101">
        <v>29395.49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805</v>
      </c>
      <c r="C46" s="101">
        <v>31038.89</v>
      </c>
      <c r="D46" s="6"/>
      <c r="E46" s="165"/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804</v>
      </c>
      <c r="C47" s="101">
        <v>36018.74</v>
      </c>
      <c r="D47" s="6"/>
      <c r="E47" s="165"/>
      <c r="F47" s="218">
        <v>48169.84</v>
      </c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806</v>
      </c>
      <c r="C48" s="101">
        <v>44235.76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810</v>
      </c>
      <c r="C49" s="101">
        <v>37662.13</v>
      </c>
      <c r="D49" s="6"/>
      <c r="E49" s="165"/>
      <c r="F49" s="8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21</v>
      </c>
      <c r="C50" s="101">
        <v>1478.65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22</v>
      </c>
      <c r="C51" s="101">
        <v>2198.42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4"/>
      <c r="B52" s="2" t="s">
        <v>647</v>
      </c>
      <c r="C52" s="101">
        <v>1099.21</v>
      </c>
      <c r="D52" s="6"/>
      <c r="E52" s="165"/>
      <c r="G52" s="75"/>
      <c r="I52">
        <v>52</v>
      </c>
      <c r="J52" s="3">
        <v>1.5</v>
      </c>
    </row>
    <row r="53" spans="1:10" ht="12.75" customHeight="1">
      <c r="A53" s="75" t="s">
        <v>602</v>
      </c>
      <c r="B53" s="75"/>
      <c r="C53" s="78"/>
      <c r="D53" s="75"/>
      <c r="E53" s="75"/>
      <c r="F53" s="75"/>
      <c r="G53" s="74"/>
      <c r="I53">
        <v>53</v>
      </c>
      <c r="J53" s="3">
        <v>1.5</v>
      </c>
    </row>
    <row r="54" spans="1:7" ht="12.75" customHeight="1">
      <c r="A54" s="74" t="s">
        <v>8</v>
      </c>
      <c r="B54" s="74" t="s">
        <v>23</v>
      </c>
      <c r="C54" s="94">
        <f>INT((D54/15*100)+0.49)/100</f>
        <v>80.67</v>
      </c>
      <c r="D54" s="74">
        <f>D55</f>
        <v>1210</v>
      </c>
      <c r="E54" s="74"/>
      <c r="F54" s="74">
        <v>1210</v>
      </c>
      <c r="G54" s="74"/>
    </row>
    <row r="55" spans="1:6" ht="12.75" customHeight="1">
      <c r="A55" s="74" t="s">
        <v>8</v>
      </c>
      <c r="B55" s="74" t="s">
        <v>24</v>
      </c>
      <c r="C55" s="94">
        <v>1210</v>
      </c>
      <c r="D55" s="74">
        <v>1210</v>
      </c>
      <c r="E55" s="74"/>
      <c r="F55" s="74"/>
    </row>
    <row r="56" spans="1:3" ht="12.75" customHeight="1">
      <c r="A56" s="74" t="s">
        <v>8</v>
      </c>
      <c r="B56" s="2" t="s">
        <v>25</v>
      </c>
      <c r="C56" s="100">
        <v>0</v>
      </c>
    </row>
    <row r="57" spans="1:3" ht="12.75" customHeight="1">
      <c r="A57" s="74" t="s">
        <v>8</v>
      </c>
      <c r="B57" s="2" t="s">
        <v>26</v>
      </c>
      <c r="C57" s="100">
        <v>0</v>
      </c>
    </row>
    <row r="58" spans="1:9" ht="12.75" customHeight="1">
      <c r="A58" s="74" t="s">
        <v>8</v>
      </c>
      <c r="B58" s="2" t="s">
        <v>27</v>
      </c>
      <c r="C58" s="101">
        <v>0</v>
      </c>
      <c r="I58" s="174">
        <f>+C64/15</f>
        <v>1319.0853333333332</v>
      </c>
    </row>
    <row r="59" spans="1:9" ht="12.75" customHeight="1">
      <c r="A59" s="74" t="s">
        <v>8</v>
      </c>
      <c r="B59" s="2" t="s">
        <v>28</v>
      </c>
      <c r="C59" s="101">
        <v>0</v>
      </c>
      <c r="I59" s="3"/>
    </row>
    <row r="60" spans="1:9" ht="12.75" customHeight="1">
      <c r="A60" s="74" t="s">
        <v>8</v>
      </c>
      <c r="B60" s="2" t="s">
        <v>29</v>
      </c>
      <c r="C60" s="101">
        <v>0</v>
      </c>
      <c r="I60" s="3"/>
    </row>
    <row r="61" spans="1:9" ht="12.75" customHeight="1">
      <c r="A61" s="74" t="s">
        <v>8</v>
      </c>
      <c r="B61" s="2" t="s">
        <v>30</v>
      </c>
      <c r="C61" s="101">
        <v>0</v>
      </c>
      <c r="I61" s="3"/>
    </row>
    <row r="62" spans="1:6" ht="12.75" customHeight="1">
      <c r="A62" s="74" t="s">
        <v>8</v>
      </c>
      <c r="B62" s="2" t="s">
        <v>31</v>
      </c>
      <c r="C62" s="101">
        <v>0</v>
      </c>
      <c r="E62" s="73" t="e">
        <f>F62/C62</f>
        <v>#DIV/0!</v>
      </c>
      <c r="F62" s="5">
        <f>C56</f>
        <v>0</v>
      </c>
    </row>
    <row r="63" spans="1:7" ht="12.75">
      <c r="A63" s="74" t="s">
        <v>8</v>
      </c>
      <c r="B63" s="2" t="s">
        <v>32</v>
      </c>
      <c r="C63" s="99">
        <v>0</v>
      </c>
      <c r="E63" s="73" t="e">
        <f>F63/C63</f>
        <v>#DIV/0!</v>
      </c>
      <c r="F63" s="5">
        <f>C56</f>
        <v>0</v>
      </c>
      <c r="G63" s="175">
        <v>7582.51</v>
      </c>
    </row>
    <row r="64" spans="1:7" ht="12.75">
      <c r="A64" s="74" t="s">
        <v>4</v>
      </c>
      <c r="B64" s="2" t="s">
        <v>617</v>
      </c>
      <c r="C64" s="100">
        <v>19786.28</v>
      </c>
      <c r="D64" s="3">
        <f>ROUND((C64/15)-0.0005,2)</f>
        <v>1319.08</v>
      </c>
      <c r="E64" s="79">
        <v>38.47</v>
      </c>
      <c r="F64" s="3">
        <f>(+C64*2)-0.02</f>
        <v>39572.54</v>
      </c>
      <c r="G64" s="175">
        <v>9099.01</v>
      </c>
    </row>
    <row r="65" spans="1:7" ht="12.75">
      <c r="A65" s="74" t="s">
        <v>4</v>
      </c>
      <c r="B65" s="2" t="s">
        <v>839</v>
      </c>
      <c r="C65" s="100">
        <v>1992.18</v>
      </c>
      <c r="D65" s="172"/>
      <c r="F65" s="3"/>
      <c r="G65" s="175">
        <v>15165.02</v>
      </c>
    </row>
    <row r="66" spans="1:7" ht="12.75" customHeight="1">
      <c r="A66" s="74" t="s">
        <v>4</v>
      </c>
      <c r="B66" s="2" t="s">
        <v>648</v>
      </c>
      <c r="C66" s="100">
        <v>996.09</v>
      </c>
      <c r="D66" s="172"/>
      <c r="F66" s="3"/>
      <c r="G66" s="75">
        <v>335.93</v>
      </c>
    </row>
    <row r="67" spans="1:7" ht="12.75" customHeight="1">
      <c r="A67" s="75" t="s">
        <v>602</v>
      </c>
      <c r="B67" s="75"/>
      <c r="C67" s="76"/>
      <c r="D67" s="75"/>
      <c r="E67" s="75"/>
      <c r="F67" s="75"/>
      <c r="G67" s="212">
        <v>758.26</v>
      </c>
    </row>
    <row r="68" spans="1:7" ht="12.75" customHeight="1">
      <c r="A68" s="104" t="s">
        <v>8</v>
      </c>
      <c r="B68" t="s">
        <v>605</v>
      </c>
      <c r="C68" s="103">
        <v>1210</v>
      </c>
      <c r="D68" s="102"/>
      <c r="E68" s="102"/>
      <c r="F68">
        <v>2420</v>
      </c>
      <c r="G68" s="75">
        <v>379.13</v>
      </c>
    </row>
    <row r="69" spans="1:7" ht="12.75" customHeight="1">
      <c r="A69" s="75" t="s">
        <v>602</v>
      </c>
      <c r="B69" s="75"/>
      <c r="C69" s="76"/>
      <c r="D69" s="75"/>
      <c r="E69" s="75"/>
      <c r="F69" s="75"/>
      <c r="G69" s="212"/>
    </row>
    <row r="70" spans="1:7" ht="12.75" customHeight="1">
      <c r="A70" s="74" t="s">
        <v>8</v>
      </c>
      <c r="B70" s="2" t="s">
        <v>33</v>
      </c>
      <c r="C70" s="9">
        <v>0</v>
      </c>
      <c r="D70" s="10"/>
      <c r="G70" s="75"/>
    </row>
    <row r="71" spans="1:6" ht="12.75" customHeight="1">
      <c r="A71" s="75" t="s">
        <v>602</v>
      </c>
      <c r="B71" s="75"/>
      <c r="C71" s="76"/>
      <c r="D71" s="75"/>
      <c r="E71" s="75"/>
      <c r="F71" s="75"/>
    </row>
    <row r="72" spans="1:3" ht="12.75" customHeight="1">
      <c r="A72" s="74" t="s">
        <v>8</v>
      </c>
      <c r="B72" t="s">
        <v>34</v>
      </c>
      <c r="C72" s="11">
        <v>-0.11</v>
      </c>
    </row>
    <row r="73" spans="1:6" ht="12.75" customHeight="1">
      <c r="A73" s="74" t="s">
        <v>4</v>
      </c>
      <c r="B73" t="s">
        <v>829</v>
      </c>
      <c r="C73" s="11">
        <v>-0.02</v>
      </c>
      <c r="E73">
        <v>755000.01</v>
      </c>
      <c r="F73">
        <v>1000000.01</v>
      </c>
    </row>
    <row r="74" spans="1:3" ht="12.75" customHeight="1">
      <c r="A74" s="74" t="s">
        <v>8</v>
      </c>
      <c r="B74" t="s">
        <v>35</v>
      </c>
      <c r="C74" s="11">
        <v>0</v>
      </c>
    </row>
    <row r="75" spans="1:3" ht="12.75" customHeight="1">
      <c r="A75" s="74" t="s">
        <v>8</v>
      </c>
      <c r="B75" t="s">
        <v>36</v>
      </c>
      <c r="C75" s="11">
        <v>-0.055</v>
      </c>
    </row>
    <row r="76" spans="1:7" ht="12.75" customHeight="1">
      <c r="A76" s="74" t="s">
        <v>8</v>
      </c>
      <c r="B76" t="s">
        <v>37</v>
      </c>
      <c r="C76" s="11">
        <v>-0.027</v>
      </c>
      <c r="G76" s="212"/>
    </row>
    <row r="77" spans="1:7" ht="12.75" customHeight="1">
      <c r="A77" s="74" t="s">
        <v>8</v>
      </c>
      <c r="B77" t="s">
        <v>38</v>
      </c>
      <c r="C77" s="11">
        <v>-0.003</v>
      </c>
      <c r="G77" s="75"/>
    </row>
    <row r="78" spans="1:6" ht="12.75" customHeight="1">
      <c r="A78" s="75" t="s">
        <v>602</v>
      </c>
      <c r="B78" s="75"/>
      <c r="C78" s="76"/>
      <c r="D78" s="75"/>
      <c r="E78" s="75"/>
      <c r="F78" s="75"/>
    </row>
    <row r="79" spans="1:3" ht="12.75" customHeight="1">
      <c r="A79" s="74" t="s">
        <v>8</v>
      </c>
      <c r="B79" t="s">
        <v>39</v>
      </c>
      <c r="C79" s="11">
        <v>0.16</v>
      </c>
    </row>
    <row r="80" spans="1:7" ht="12.75" customHeight="1">
      <c r="A80" s="74" t="s">
        <v>8</v>
      </c>
      <c r="B80" t="s">
        <v>40</v>
      </c>
      <c r="C80" s="11">
        <v>0.07</v>
      </c>
      <c r="G80" s="212"/>
    </row>
    <row r="81" spans="1:7" ht="12.75" customHeight="1">
      <c r="A81" s="74" t="s">
        <v>8</v>
      </c>
      <c r="B81" t="s">
        <v>41</v>
      </c>
      <c r="C81" s="11">
        <v>0.01</v>
      </c>
      <c r="G81" s="75"/>
    </row>
    <row r="82" spans="1:6" ht="12.75" customHeight="1">
      <c r="A82" s="75" t="s">
        <v>602</v>
      </c>
      <c r="B82" s="75"/>
      <c r="C82" s="76"/>
      <c r="D82" s="75"/>
      <c r="E82" s="75"/>
      <c r="F82" s="75"/>
    </row>
    <row r="83" spans="1:3" ht="12.75" customHeight="1">
      <c r="A83" s="74" t="s">
        <v>8</v>
      </c>
      <c r="B83" t="s">
        <v>42</v>
      </c>
      <c r="C83" s="11">
        <v>0.035</v>
      </c>
    </row>
    <row r="84" spans="1:7" ht="12.75" customHeight="1">
      <c r="A84" s="74" t="s">
        <v>8</v>
      </c>
      <c r="B84" t="s">
        <v>43</v>
      </c>
      <c r="C84" s="11">
        <v>0.006</v>
      </c>
      <c r="G84" s="212"/>
    </row>
    <row r="85" spans="1:7" ht="12.75" customHeight="1">
      <c r="A85" s="74" t="s">
        <v>8</v>
      </c>
      <c r="B85" t="s">
        <v>44</v>
      </c>
      <c r="C85" s="11">
        <v>0.054</v>
      </c>
      <c r="G85" s="75"/>
    </row>
    <row r="86" spans="1:7" ht="12.75" customHeight="1">
      <c r="A86" s="75" t="s">
        <v>602</v>
      </c>
      <c r="B86" s="75"/>
      <c r="C86" s="76"/>
      <c r="D86" s="75"/>
      <c r="E86" s="75"/>
      <c r="F86" s="75"/>
      <c r="G86" s="212"/>
    </row>
    <row r="87" spans="1:7" ht="12.75" customHeight="1">
      <c r="A87" s="74" t="s">
        <v>8</v>
      </c>
      <c r="B87" t="s">
        <v>45</v>
      </c>
      <c r="C87" s="4">
        <v>0.5</v>
      </c>
      <c r="G87" s="75"/>
    </row>
    <row r="88" spans="1:6" ht="12.75" customHeight="1">
      <c r="A88" s="75" t="s">
        <v>602</v>
      </c>
      <c r="B88" s="75"/>
      <c r="C88" s="76"/>
      <c r="D88" s="75"/>
      <c r="E88" s="75"/>
      <c r="F88" s="75"/>
    </row>
    <row r="89" spans="1:5" ht="12.75" customHeight="1">
      <c r="A89" s="74" t="s">
        <v>8</v>
      </c>
      <c r="B89" s="74" t="s">
        <v>618</v>
      </c>
      <c r="C89" s="8">
        <v>0</v>
      </c>
      <c r="E89" s="8"/>
    </row>
    <row r="90" spans="1:5" ht="12.75" customHeight="1">
      <c r="A90" s="74" t="s">
        <v>8</v>
      </c>
      <c r="B90" s="74" t="s">
        <v>619</v>
      </c>
      <c r="C90" s="8">
        <v>0</v>
      </c>
      <c r="E90" s="8"/>
    </row>
    <row r="91" spans="1:6" ht="12.75" customHeight="1">
      <c r="A91" s="74" t="s">
        <v>8</v>
      </c>
      <c r="B91" s="74" t="s">
        <v>620</v>
      </c>
      <c r="C91" s="100">
        <v>0</v>
      </c>
      <c r="E91" s="8"/>
      <c r="F91" s="8">
        <f>+C91</f>
        <v>0</v>
      </c>
    </row>
    <row r="92" spans="1:5" ht="12.75" customHeight="1">
      <c r="A92" s="74" t="s">
        <v>8</v>
      </c>
      <c r="B92" s="74" t="s">
        <v>621</v>
      </c>
      <c r="C92" s="8">
        <v>0</v>
      </c>
      <c r="E92" s="8"/>
    </row>
    <row r="93" spans="1:5" ht="12.75" customHeight="1">
      <c r="A93" s="74" t="s">
        <v>8</v>
      </c>
      <c r="B93" s="74" t="s">
        <v>649</v>
      </c>
      <c r="C93" s="8">
        <v>0</v>
      </c>
      <c r="E93" s="8"/>
    </row>
    <row r="94" spans="1:5" ht="12.75">
      <c r="A94" s="74" t="s">
        <v>8</v>
      </c>
      <c r="B94" s="74" t="s">
        <v>651</v>
      </c>
      <c r="C94" s="8">
        <f>C93/2</f>
        <v>0</v>
      </c>
      <c r="E94" s="8"/>
    </row>
    <row r="95" spans="1:11" ht="12.75">
      <c r="A95" s="74" t="s">
        <v>602</v>
      </c>
      <c r="B95" s="74"/>
      <c r="C95" s="8"/>
      <c r="E95" s="8"/>
      <c r="G95" s="175">
        <v>7582.51</v>
      </c>
      <c r="I95" s="175"/>
      <c r="J95" s="8">
        <f>53359.19-C96</f>
        <v>-4584.989999999998</v>
      </c>
      <c r="K95">
        <f>+J95/2</f>
        <v>-2292.494999999999</v>
      </c>
    </row>
    <row r="96" spans="1:11" ht="12.75">
      <c r="A96" s="74" t="s">
        <v>4</v>
      </c>
      <c r="B96" s="74" t="s">
        <v>606</v>
      </c>
      <c r="C96" s="8">
        <v>57944.18</v>
      </c>
      <c r="D96" s="8"/>
      <c r="F96" s="8">
        <f aca="true" t="shared" si="0" ref="F96:F97">C96</f>
        <v>57944.18</v>
      </c>
      <c r="G96" s="175">
        <v>9099.01</v>
      </c>
      <c r="I96" s="175"/>
      <c r="J96">
        <f>C97*1.139</f>
        <v>79198.087</v>
      </c>
      <c r="K96" s="8">
        <f>+C98-J96</f>
        <v>36690.253</v>
      </c>
    </row>
    <row r="97" spans="1:10" ht="12.75">
      <c r="A97" s="74" t="s">
        <v>4</v>
      </c>
      <c r="B97" s="74" t="s">
        <v>808</v>
      </c>
      <c r="C97" s="8">
        <v>69533</v>
      </c>
      <c r="D97" s="8"/>
      <c r="F97" s="8">
        <f t="shared" si="0"/>
        <v>69533</v>
      </c>
      <c r="G97" s="175">
        <v>15165.02</v>
      </c>
      <c r="I97" s="175"/>
      <c r="J97">
        <f>+C98/2</f>
        <v>57944.17</v>
      </c>
    </row>
    <row r="98" spans="1:11" ht="12.75">
      <c r="A98" s="74" t="s">
        <v>4</v>
      </c>
      <c r="B98" s="74" t="s">
        <v>607</v>
      </c>
      <c r="C98" s="8">
        <v>115888.34</v>
      </c>
      <c r="D98" s="8"/>
      <c r="F98" s="8">
        <v>108631.74</v>
      </c>
      <c r="G98" s="175">
        <v>335.93</v>
      </c>
      <c r="I98" s="175"/>
      <c r="K98">
        <f>+C99*5</f>
        <v>13476.35</v>
      </c>
    </row>
    <row r="99" spans="1:10" ht="12.75">
      <c r="A99" s="74" t="s">
        <v>4</v>
      </c>
      <c r="B99" s="74" t="s">
        <v>608</v>
      </c>
      <c r="C99" s="8">
        <v>2695.27</v>
      </c>
      <c r="D99" s="8"/>
      <c r="F99" s="8">
        <f aca="true" t="shared" si="1" ref="F99:F101">C99</f>
        <v>2695.27</v>
      </c>
      <c r="G99" s="175">
        <v>758.26</v>
      </c>
      <c r="I99" s="175"/>
      <c r="J99">
        <f aca="true" t="shared" si="2" ref="J99:J100">C100*1.139</f>
        <v>6599.88994</v>
      </c>
    </row>
    <row r="100" spans="1:11" ht="12.75">
      <c r="A100" s="74" t="s">
        <v>4</v>
      </c>
      <c r="B100" s="74" t="s">
        <v>650</v>
      </c>
      <c r="C100" s="8">
        <v>5794.46</v>
      </c>
      <c r="D100" s="8"/>
      <c r="F100" s="8">
        <f t="shared" si="1"/>
        <v>5794.46</v>
      </c>
      <c r="G100" s="175">
        <v>379.13</v>
      </c>
      <c r="I100" s="175"/>
      <c r="J100">
        <f t="shared" si="2"/>
        <v>3299.94497</v>
      </c>
      <c r="K100">
        <f>+J100*2</f>
        <v>6599.88994</v>
      </c>
    </row>
    <row r="101" spans="1:6" ht="12.75">
      <c r="A101" s="74" t="s">
        <v>4</v>
      </c>
      <c r="B101" s="74" t="s">
        <v>652</v>
      </c>
      <c r="C101" s="8">
        <v>2897.23</v>
      </c>
      <c r="D101" s="8"/>
      <c r="F101" s="8">
        <f t="shared" si="1"/>
        <v>2897.23</v>
      </c>
    </row>
    <row r="102" spans="1:3" ht="12.75">
      <c r="A102" s="74" t="s">
        <v>4</v>
      </c>
      <c r="B102" s="74" t="s">
        <v>622</v>
      </c>
      <c r="C102" s="8">
        <v>-1270.16</v>
      </c>
    </row>
    <row r="103" spans="1:3" ht="12.75">
      <c r="A103" s="74" t="s">
        <v>4</v>
      </c>
      <c r="B103" t="s">
        <v>612</v>
      </c>
      <c r="C103" s="8">
        <v>-5857</v>
      </c>
    </row>
    <row r="104" spans="1:3" ht="12.75">
      <c r="A104" s="74" t="s">
        <v>4</v>
      </c>
      <c r="B104" t="s">
        <v>831</v>
      </c>
      <c r="C104" s="221">
        <v>0.1</v>
      </c>
    </row>
    <row r="105" spans="1:3" ht="12.75">
      <c r="A105" s="74" t="s">
        <v>8</v>
      </c>
      <c r="B105" s="74" t="s">
        <v>832</v>
      </c>
      <c r="C105" s="221">
        <v>0.046</v>
      </c>
    </row>
    <row r="106" spans="1:3" ht="12.75">
      <c r="A106" s="74" t="s">
        <v>8</v>
      </c>
      <c r="B106" t="s">
        <v>833</v>
      </c>
      <c r="C106" s="221">
        <v>0.815</v>
      </c>
    </row>
  </sheetData>
  <autoFilter ref="A1:J103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332"/>
  <sheetViews>
    <sheetView showGridLines="0" tabSelected="1" zoomScale="130" zoomScaleNormal="130" zoomScaleSheetLayoutView="100" workbookViewId="0" topLeftCell="A1">
      <pane xSplit="5" ySplit="7" topLeftCell="F59" activePane="bottomRight" state="frozen"/>
      <selection pane="topRight" activeCell="F1" sqref="F1"/>
      <selection pane="bottomLeft" activeCell="A8" sqref="A8"/>
      <selection pane="bottomRight" activeCell="R21" sqref="R21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2.42187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7.8515625" style="107" customWidth="1"/>
    <col min="16" max="16" width="9.140625" style="107" customWidth="1"/>
    <col min="17" max="17" width="7.140625" style="107" customWidth="1"/>
    <col min="18" max="18" width="8.57421875" style="107" customWidth="1"/>
    <col min="19" max="19" width="8.14062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421875" style="107" customWidth="1"/>
    <col min="31" max="31" width="4.421875" style="115" hidden="1" customWidth="1"/>
    <col min="32" max="32" width="6.140625" style="107" customWidth="1"/>
    <col min="33" max="34" width="8.140625" style="107" customWidth="1"/>
    <col min="35" max="35" width="9.00390625" style="107" customWidth="1"/>
    <col min="36" max="36" width="9.421875" style="107" customWidth="1"/>
    <col min="37" max="37" width="9.421875" style="107" hidden="1" customWidth="1"/>
    <col min="38" max="38" width="9.421875" style="109" hidden="1" customWidth="1"/>
    <col min="39" max="39" width="7.7109375" style="109" hidden="1" customWidth="1"/>
    <col min="40" max="40" width="8.28125" style="109" hidden="1" customWidth="1"/>
    <col min="41" max="41" width="7.28125" style="107" customWidth="1"/>
    <col min="42" max="42" width="8.421875" style="107" customWidth="1"/>
    <col min="43" max="43" width="7.7109375" style="107" customWidth="1"/>
    <col min="44" max="44" width="7.421875" style="107" customWidth="1"/>
    <col min="45" max="45" width="9.00390625" style="107" customWidth="1"/>
    <col min="46" max="46" width="10.8515625" style="107" customWidth="1"/>
    <col min="47" max="48" width="9.7109375" style="108" customWidth="1"/>
    <col min="49" max="49" width="8.00390625" style="108" customWidth="1"/>
    <col min="50" max="50" width="9.7109375" style="107" customWidth="1"/>
    <col min="51" max="58" width="9.7109375" style="108" customWidth="1"/>
    <col min="59" max="59" width="5.00390625" style="105" hidden="1" customWidth="1"/>
    <col min="60" max="60" width="3.7109375" style="105" hidden="1" customWidth="1"/>
    <col min="61" max="61" width="3.421875" style="110" hidden="1" customWidth="1"/>
    <col min="62" max="62" width="9.8515625" style="111" hidden="1" customWidth="1"/>
    <col min="63" max="1029" width="11.421875" style="111" customWidth="1"/>
    <col min="1030" max="16384" width="9.140625" style="112" customWidth="1"/>
  </cols>
  <sheetData>
    <row r="1" spans="1:42" ht="35.25" customHeight="1">
      <c r="A1" s="230" t="str">
        <f ca="1">CONCATENATE(Valores!M16,"  ",Valores!M15)</f>
        <v>MARZO  2024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106"/>
      <c r="AP1" s="106"/>
    </row>
    <row r="2" spans="1:61" ht="11.25" customHeight="1">
      <c r="A2" s="134" t="s">
        <v>46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L2" s="107"/>
      <c r="AM2" s="107"/>
      <c r="AN2" s="232"/>
      <c r="BI2" s="116">
        <f>(((F139+S139)*1.15)+O139+P139+Q139+AA139+AD139)*0.05</f>
        <v>14189.303500000002</v>
      </c>
    </row>
    <row r="3" spans="1:58" ht="11.25" customHeight="1">
      <c r="A3" s="224" t="s">
        <v>48</v>
      </c>
      <c r="B3" s="224"/>
      <c r="C3" s="225"/>
      <c r="D3" s="224"/>
      <c r="E3" s="226"/>
      <c r="F3" s="227" t="s">
        <v>4</v>
      </c>
      <c r="G3" s="233" t="s">
        <v>47</v>
      </c>
      <c r="H3" s="233"/>
      <c r="I3" s="234">
        <f>Valores!C2</f>
        <v>82.78</v>
      </c>
      <c r="J3" s="234"/>
      <c r="K3" s="199"/>
      <c r="L3" s="177" t="e">
        <f>VLOOKUP(K3,Valores!L17:M28,2,)</f>
        <v>#N/A</v>
      </c>
      <c r="M3" s="176"/>
      <c r="N3" s="177"/>
      <c r="O3" s="239" t="s">
        <v>838</v>
      </c>
      <c r="P3" s="239"/>
      <c r="Q3" s="239"/>
      <c r="R3" s="239"/>
      <c r="S3" s="239"/>
      <c r="T3" s="239"/>
      <c r="U3" s="239"/>
      <c r="V3" s="239"/>
      <c r="X3" s="245" t="str">
        <f>CONCATENATE("(*) Conceptos que obtuvieron el Beneficio de exepción del Impuesto a las Ganancias hasta un 40% de la ganacia minima no Imponible (Inc 10 Art. 26 de la Ley de Gravamen",".-")</f>
        <v>(*) Conceptos que obtuvieron el Beneficio de exepción del Impuesto a las Ganancias hasta un 40% de la ganacia minima no Imponible (Inc 10 Art. 26 de la Ley de Gravamen.-</v>
      </c>
      <c r="Y3" s="245"/>
      <c r="Z3" s="245"/>
      <c r="AA3" s="245"/>
      <c r="AB3" s="245"/>
      <c r="AC3" s="245"/>
      <c r="AD3" s="245"/>
      <c r="AE3" s="245"/>
      <c r="AF3" s="245"/>
      <c r="AG3" s="245"/>
      <c r="AH3" s="220"/>
      <c r="AL3" s="117" t="s">
        <v>4</v>
      </c>
      <c r="AM3" s="118"/>
      <c r="AN3" s="232"/>
      <c r="AO3" s="117" t="s">
        <v>4</v>
      </c>
      <c r="AP3" s="118"/>
      <c r="AQ3" s="119">
        <f>Valores!C2</f>
        <v>82.78</v>
      </c>
      <c r="AR3" s="120"/>
      <c r="AS3" s="120"/>
      <c r="AT3" s="120"/>
      <c r="AU3" s="121"/>
      <c r="AV3" s="121"/>
      <c r="AW3" s="121"/>
      <c r="AX3" s="120"/>
      <c r="AY3" s="121"/>
      <c r="AZ3" s="121"/>
      <c r="BA3" s="121"/>
      <c r="BB3" s="121"/>
      <c r="BC3" s="121"/>
      <c r="BD3" s="121"/>
      <c r="BE3" s="121"/>
      <c r="BF3" s="121"/>
    </row>
    <row r="4" spans="1:58" ht="11.25" customHeight="1">
      <c r="A4" s="236" t="s">
        <v>615</v>
      </c>
      <c r="B4" s="237"/>
      <c r="C4" s="237"/>
      <c r="D4" s="238"/>
      <c r="E4" s="191"/>
      <c r="F4" s="133" t="s">
        <v>8</v>
      </c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20"/>
      <c r="AJ4" s="74"/>
      <c r="AK4" s="74"/>
      <c r="AN4" s="122"/>
      <c r="AO4" s="117" t="s">
        <v>8</v>
      </c>
      <c r="AP4" s="118"/>
      <c r="AQ4" s="120"/>
      <c r="AR4" s="120"/>
      <c r="AS4" s="120"/>
      <c r="AT4" s="120"/>
      <c r="AU4" s="121"/>
      <c r="AV4" s="121"/>
      <c r="AW4" s="121"/>
      <c r="AX4" s="120"/>
      <c r="AY4" s="121"/>
      <c r="AZ4" s="121"/>
      <c r="BA4" s="121"/>
      <c r="BB4" s="121"/>
      <c r="BC4" s="121"/>
      <c r="BD4" s="121"/>
      <c r="BE4" s="121"/>
      <c r="BF4" s="121"/>
    </row>
    <row r="5" spans="1:58" ht="11.25" customHeight="1">
      <c r="A5" s="236" t="s">
        <v>610</v>
      </c>
      <c r="B5" s="237"/>
      <c r="C5" s="237"/>
      <c r="D5" s="238"/>
      <c r="E5" s="191"/>
      <c r="F5" s="161">
        <v>1</v>
      </c>
      <c r="H5" s="217" t="s">
        <v>809</v>
      </c>
      <c r="P5" s="217" t="s">
        <v>809</v>
      </c>
      <c r="R5" s="217" t="s">
        <v>809</v>
      </c>
      <c r="T5" s="217" t="s">
        <v>809</v>
      </c>
      <c r="AC5" s="217" t="s">
        <v>809</v>
      </c>
      <c r="AG5" s="217" t="s">
        <v>809</v>
      </c>
      <c r="AJ5" s="222" t="s">
        <v>837</v>
      </c>
      <c r="AK5" s="222"/>
      <c r="AN5" s="122"/>
      <c r="AO5" s="117"/>
      <c r="AP5" s="118"/>
      <c r="AQ5" s="120"/>
      <c r="AR5" s="120"/>
      <c r="AS5" s="120"/>
      <c r="AT5" s="120"/>
      <c r="AU5" s="121"/>
      <c r="AV5" s="121"/>
      <c r="AW5" s="121"/>
      <c r="AX5" s="120"/>
      <c r="AY5" s="121"/>
      <c r="AZ5" s="121"/>
      <c r="BA5" s="121"/>
      <c r="BB5" s="121"/>
      <c r="BC5" s="121"/>
      <c r="BD5" s="121"/>
      <c r="BE5" s="121"/>
      <c r="BF5" s="121"/>
    </row>
    <row r="6" spans="1:1029" s="147" customFormat="1" ht="48.75" customHeight="1">
      <c r="A6" s="183"/>
      <c r="B6" s="184"/>
      <c r="C6" s="184"/>
      <c r="D6" s="183"/>
      <c r="E6" s="240" t="s">
        <v>49</v>
      </c>
      <c r="F6" s="241"/>
      <c r="G6" s="242" t="s">
        <v>50</v>
      </c>
      <c r="H6" s="242"/>
      <c r="I6" s="243" t="s">
        <v>51</v>
      </c>
      <c r="J6" s="243"/>
      <c r="K6" s="235" t="s">
        <v>52</v>
      </c>
      <c r="L6" s="235"/>
      <c r="M6" s="150" t="s">
        <v>53</v>
      </c>
      <c r="N6" s="151" t="s">
        <v>54</v>
      </c>
      <c r="O6" s="150" t="s">
        <v>55</v>
      </c>
      <c r="P6" s="169" t="str">
        <f>CONCATENATE("Est. Doc (tope ",TEXT(Valores!D5,"$0.000,00"),")")</f>
        <v>Est. Doc (tope $42.317,14)</v>
      </c>
      <c r="Q6" s="150" t="s">
        <v>56</v>
      </c>
      <c r="R6" s="169" t="str">
        <f>CONCATENATE("Gtos. Inh. Lab. Doc. ")</f>
        <v xml:space="preserve">Gtos. Inh. Lab. Doc. </v>
      </c>
      <c r="S6" s="151" t="s">
        <v>57</v>
      </c>
      <c r="T6" s="150" t="s">
        <v>57</v>
      </c>
      <c r="U6" s="150" t="s">
        <v>58</v>
      </c>
      <c r="V6" s="150" t="s">
        <v>59</v>
      </c>
      <c r="W6" s="244" t="s">
        <v>60</v>
      </c>
      <c r="X6" s="244"/>
      <c r="Y6" s="150" t="s">
        <v>61</v>
      </c>
      <c r="Z6" s="159" t="str">
        <f>CONCATENATE("Bonif. Compensatoria Rem.")</f>
        <v>Bonif. Compensatoria Rem.</v>
      </c>
      <c r="AA6" s="159" t="str">
        <f>CONCATENATE("Ad R Doc ")</f>
        <v xml:space="preserve">Ad R Doc </v>
      </c>
      <c r="AB6" s="159" t="s">
        <v>690</v>
      </c>
      <c r="AC6" s="150" t="s">
        <v>62</v>
      </c>
      <c r="AD6" s="158" t="str">
        <f>CONCATENATE("Nuevo  A.R.D.")</f>
        <v>Nuevo  A.R.D.</v>
      </c>
      <c r="AE6" s="235" t="s">
        <v>63</v>
      </c>
      <c r="AF6" s="235"/>
      <c r="AG6" s="158" t="str">
        <f>CONCATENATE("Ap Mat Did Rem.")</f>
        <v>Ap Mat Did Rem.</v>
      </c>
      <c r="AH6" s="158" t="s">
        <v>831</v>
      </c>
      <c r="AI6" s="150" t="s">
        <v>64</v>
      </c>
      <c r="AJ6" s="223" t="str">
        <f>CONCATENATE("Compensación Provincial Pérdida Incentivo Docente (tope ",TEXT(Valores!F33,"$0,00"),")")</f>
        <v>Compensación Provincial Pérdida Incentivo Docente (tope $70000,00)</v>
      </c>
      <c r="AK6" s="158" t="s">
        <v>836</v>
      </c>
      <c r="AL6" s="158" t="str">
        <f>CONCATENATE("Bonif. Compensatoria No Rem. (tope ",TEXT(Valores!C91,"$0,00"),")")</f>
        <v>Bonif. Compensatoria No Rem. (tope $0,00)</v>
      </c>
      <c r="AM6" s="158" t="str">
        <f>CONCATENATE("Adic Extr. (tope ",TEXT(Valores!F39,"$0.000,00"),")")</f>
        <v>Adic Extr. (tope $0.000,00)</v>
      </c>
      <c r="AN6" s="159" t="str">
        <f>CONCATENATE("Adel Inc Docente (tope ",TEXT(Valores!C56,"$0,00"),")")</f>
        <v>Adel Inc Docente (tope $0,00)</v>
      </c>
      <c r="AO6" s="150" t="s">
        <v>65</v>
      </c>
      <c r="AP6" s="152" t="s">
        <v>66</v>
      </c>
      <c r="AQ6" s="152" t="s">
        <v>829</v>
      </c>
      <c r="AR6" s="152" t="s">
        <v>67</v>
      </c>
      <c r="AS6" s="152" t="s">
        <v>611</v>
      </c>
      <c r="AT6" s="152" t="s">
        <v>612</v>
      </c>
      <c r="AU6" s="159" t="s">
        <v>68</v>
      </c>
      <c r="AV6" s="152" t="str">
        <f>AP6</f>
        <v>Ap Pers Jub</v>
      </c>
      <c r="AW6" s="152" t="s">
        <v>829</v>
      </c>
      <c r="AX6" s="152" t="s">
        <v>813</v>
      </c>
      <c r="AY6" s="152" t="s">
        <v>815</v>
      </c>
      <c r="AZ6" s="159" t="s">
        <v>623</v>
      </c>
      <c r="BA6" s="152" t="s">
        <v>818</v>
      </c>
      <c r="BB6" s="152" t="s">
        <v>819</v>
      </c>
      <c r="BC6" s="219" t="s">
        <v>821</v>
      </c>
      <c r="BD6" s="219" t="s">
        <v>827</v>
      </c>
      <c r="BE6" s="152" t="s">
        <v>825</v>
      </c>
      <c r="BF6" s="152" t="s">
        <v>823</v>
      </c>
      <c r="BG6" s="152" t="s">
        <v>69</v>
      </c>
      <c r="BH6" s="152" t="s">
        <v>70</v>
      </c>
      <c r="BI6" s="152" t="s">
        <v>71</v>
      </c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  <c r="AMG6" s="145"/>
      <c r="AMH6" s="145"/>
      <c r="AMI6" s="145"/>
      <c r="AMJ6" s="145"/>
      <c r="AMK6" s="145"/>
      <c r="AML6" s="145"/>
      <c r="AMM6" s="145"/>
      <c r="AMN6" s="145"/>
      <c r="AMO6" s="145"/>
    </row>
    <row r="7" spans="1:61" s="145" customFormat="1" ht="12.75" customHeight="1">
      <c r="A7" s="185" t="s">
        <v>72</v>
      </c>
      <c r="B7" s="186"/>
      <c r="C7" s="189" t="s">
        <v>655</v>
      </c>
      <c r="D7" s="187" t="s">
        <v>73</v>
      </c>
      <c r="E7" s="148" t="s">
        <v>74</v>
      </c>
      <c r="F7" s="149" t="s">
        <v>75</v>
      </c>
      <c r="G7" s="190" t="s">
        <v>76</v>
      </c>
      <c r="H7" s="153" t="s">
        <v>77</v>
      </c>
      <c r="I7" s="154" t="s">
        <v>78</v>
      </c>
      <c r="J7" s="153" t="s">
        <v>79</v>
      </c>
      <c r="K7" s="155" t="s">
        <v>80</v>
      </c>
      <c r="L7" s="153" t="s">
        <v>81</v>
      </c>
      <c r="M7" s="153" t="s">
        <v>82</v>
      </c>
      <c r="N7" s="153" t="s">
        <v>83</v>
      </c>
      <c r="O7" s="153" t="s">
        <v>84</v>
      </c>
      <c r="P7" s="153" t="s">
        <v>85</v>
      </c>
      <c r="Q7" s="153" t="s">
        <v>86</v>
      </c>
      <c r="R7" s="153" t="s">
        <v>87</v>
      </c>
      <c r="S7" s="153" t="s">
        <v>88</v>
      </c>
      <c r="T7" s="153" t="s">
        <v>88</v>
      </c>
      <c r="U7" s="153" t="s">
        <v>89</v>
      </c>
      <c r="V7" s="153" t="s">
        <v>90</v>
      </c>
      <c r="W7" s="156" t="s">
        <v>91</v>
      </c>
      <c r="X7" s="153" t="s">
        <v>92</v>
      </c>
      <c r="Y7" s="153" t="s">
        <v>93</v>
      </c>
      <c r="Z7" s="153" t="s">
        <v>609</v>
      </c>
      <c r="AA7" s="157" t="s">
        <v>94</v>
      </c>
      <c r="AB7" s="157"/>
      <c r="AC7" s="157" t="s">
        <v>95</v>
      </c>
      <c r="AD7" s="153" t="s">
        <v>96</v>
      </c>
      <c r="AE7" s="156" t="s">
        <v>97</v>
      </c>
      <c r="AF7" s="153" t="s">
        <v>98</v>
      </c>
      <c r="AG7" s="153" t="s">
        <v>99</v>
      </c>
      <c r="AH7" s="153" t="s">
        <v>834</v>
      </c>
      <c r="AI7" s="151" t="s">
        <v>100</v>
      </c>
      <c r="AJ7" s="153" t="s">
        <v>840</v>
      </c>
      <c r="AK7" s="153" t="s">
        <v>835</v>
      </c>
      <c r="AL7" s="157" t="s">
        <v>601</v>
      </c>
      <c r="AM7" s="182" t="s">
        <v>682</v>
      </c>
      <c r="AN7" s="157" t="s">
        <v>101</v>
      </c>
      <c r="AO7" s="150" t="s">
        <v>102</v>
      </c>
      <c r="AP7" s="152" t="s">
        <v>103</v>
      </c>
      <c r="AQ7" s="152" t="s">
        <v>830</v>
      </c>
      <c r="AR7" s="153" t="s">
        <v>104</v>
      </c>
      <c r="AS7" s="160" t="s">
        <v>613</v>
      </c>
      <c r="AT7" s="160" t="s">
        <v>614</v>
      </c>
      <c r="AU7" s="151"/>
      <c r="AV7" s="152" t="str">
        <f aca="true" t="shared" si="0" ref="AV7:AV70">AP7</f>
        <v>C660060</v>
      </c>
      <c r="AW7" s="152" t="s">
        <v>830</v>
      </c>
      <c r="AX7" s="171" t="s">
        <v>814</v>
      </c>
      <c r="AY7" s="171" t="s">
        <v>816</v>
      </c>
      <c r="AZ7" s="170"/>
      <c r="BA7" s="171" t="s">
        <v>817</v>
      </c>
      <c r="BB7" s="171" t="s">
        <v>820</v>
      </c>
      <c r="BC7" s="171" t="s">
        <v>822</v>
      </c>
      <c r="BD7" s="171" t="s">
        <v>828</v>
      </c>
      <c r="BE7" s="171" t="s">
        <v>826</v>
      </c>
      <c r="BF7" s="171" t="s">
        <v>824</v>
      </c>
      <c r="BG7" s="146"/>
      <c r="BH7" s="146"/>
      <c r="BI7" s="146"/>
    </row>
    <row r="8" spans="1:61" s="110" customFormat="1" ht="11.25" customHeight="1">
      <c r="A8" s="123" t="s">
        <v>105</v>
      </c>
      <c r="B8" s="123">
        <v>1</v>
      </c>
      <c r="C8" s="126">
        <v>1</v>
      </c>
      <c r="D8" s="124" t="s">
        <v>106</v>
      </c>
      <c r="E8" s="192">
        <v>107</v>
      </c>
      <c r="F8" s="125">
        <f>ROUND(E8*Valores!$C$2,2)</f>
        <v>8857.46</v>
      </c>
      <c r="G8" s="192">
        <v>3779</v>
      </c>
      <c r="H8" s="125">
        <f>ROUND(G8*Valores!$C$2,2)</f>
        <v>312825.62</v>
      </c>
      <c r="I8" s="192">
        <v>219</v>
      </c>
      <c r="J8" s="125">
        <f>ROUND(I8*Valores!$C$2,2)</f>
        <v>18128.82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93957.66</v>
      </c>
      <c r="N8" s="125">
        <f aca="true" t="shared" si="1" ref="N8:N71">ROUND(SUM(F8,H8,J8,L8,X8,R8)*$H$2,2)</f>
        <v>0</v>
      </c>
      <c r="O8" s="125">
        <f>Valores!$C$11</f>
        <v>73808.02</v>
      </c>
      <c r="P8" s="125">
        <f>Valores!$D$5</f>
        <v>42317.14</v>
      </c>
      <c r="Q8" s="125">
        <v>0</v>
      </c>
      <c r="R8" s="125">
        <f>IF($F$4="NO",Valores!$C$47,Valores!$C$47/2)</f>
        <v>36018.74</v>
      </c>
      <c r="S8" s="125">
        <v>0</v>
      </c>
      <c r="T8" s="125">
        <f>ROUND(S8*(1+$H$2),2)</f>
        <v>0</v>
      </c>
      <c r="U8" s="125">
        <f>SUM(F8,H8,J8)</f>
        <v>339811.9</v>
      </c>
      <c r="V8" s="125">
        <f>INT((SUM(F8,H8,J8)*0.4*100)+0.49)/100</f>
        <v>135924.76</v>
      </c>
      <c r="W8" s="192">
        <v>0</v>
      </c>
      <c r="X8" s="125">
        <f>ROUND(W8*Valores!$C$2,2)</f>
        <v>0</v>
      </c>
      <c r="Y8" s="125">
        <v>0</v>
      </c>
      <c r="Z8" s="125">
        <f>Valores!$C$96</f>
        <v>57944.18</v>
      </c>
      <c r="AA8" s="125">
        <f>Valores!$C$25</f>
        <v>1730.69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1730.69</v>
      </c>
      <c r="AE8" s="192">
        <v>0</v>
      </c>
      <c r="AF8" s="125">
        <f>ROUND(AE8*Valores!$C$2,2)</f>
        <v>0</v>
      </c>
      <c r="AG8" s="125">
        <f>ROUND(IF($F$4="NO",Valores!$C$64,Valores!$C$64/2),2)</f>
        <v>19786.28</v>
      </c>
      <c r="AH8" s="125">
        <f>SUM(F8,H8,J8,L8,M8,N8,O8,P8,Q8,R8,T8,U8,V8,X8,Y8,Z8,AA8,AC8,AD8,AF8,AG8)*Valores!$C$104</f>
        <v>114284.196</v>
      </c>
      <c r="AI8" s="125">
        <f aca="true" t="shared" si="3" ref="AI8:AI72">SUM(F8,H8,J8,L8,M8,N8,O8,P8,Q8,R8,T8,U8,V8,X8,Y8,Z8,AA8,AC8,AD8,AF8,AG8,AH8)</f>
        <v>1257126.156</v>
      </c>
      <c r="AJ8" s="125">
        <f>Valores!$C$32</f>
        <v>70000</v>
      </c>
      <c r="AK8" s="125">
        <v>0</v>
      </c>
      <c r="AL8" s="125">
        <f>Valores!$C$89</f>
        <v>0</v>
      </c>
      <c r="AM8" s="125">
        <f>Valores!C$39*B8</f>
        <v>0</v>
      </c>
      <c r="AN8" s="125">
        <f>IF($F$3="NO",0,Valores!$C$56)</f>
        <v>0</v>
      </c>
      <c r="AO8" s="125">
        <f aca="true" t="shared" si="4" ref="AO8:AO71">SUM(AJ8:AN8)</f>
        <v>70000</v>
      </c>
      <c r="AP8" s="125">
        <f>AI8*Valores!$C$72</f>
        <v>-138283.87716</v>
      </c>
      <c r="AQ8" s="125">
        <f>IF(AI8&lt;Valores!$E$73,-0.02,IF(AI8&lt;Valores!$F$73,-0.03,-0.04))*AI8</f>
        <v>-50285.046239999996</v>
      </c>
      <c r="AR8" s="125">
        <f>AI8*Valores!$C$75</f>
        <v>-69141.93858</v>
      </c>
      <c r="AS8" s="125">
        <f>Valores!$C$102</f>
        <v>-1270.16</v>
      </c>
      <c r="AT8" s="125">
        <f>IF($F$5=0,Valores!$C$103,(Valores!$C$103+$F$5*(Valores!$C$103)))</f>
        <v>-11714</v>
      </c>
      <c r="AU8" s="125">
        <f>AI8+AO8+SUM(AP8:AT8)</f>
        <v>1056431.13402</v>
      </c>
      <c r="AV8" s="125">
        <f t="shared" si="0"/>
        <v>-138283.87716</v>
      </c>
      <c r="AW8" s="125">
        <f>AQ8</f>
        <v>-50285.046239999996</v>
      </c>
      <c r="AX8" s="125">
        <f>AI8*Valores!$C$76</f>
        <v>-33942.406212</v>
      </c>
      <c r="AY8" s="125">
        <f>AI8*Valores!$C$77</f>
        <v>-3771.378468</v>
      </c>
      <c r="AZ8" s="125">
        <f aca="true" t="shared" si="5" ref="AZ8:AZ71">AI8+AO8+SUM(AV8:AY8)</f>
        <v>1100843.44792</v>
      </c>
      <c r="BA8" s="125">
        <f>AI8*Valores!$C$79</f>
        <v>201140.18495999998</v>
      </c>
      <c r="BB8" s="125">
        <f>AI8*Valores!$C$80</f>
        <v>87998.83092000001</v>
      </c>
      <c r="BC8" s="125">
        <f>AI8*Valores!$C$81</f>
        <v>12571.261559999999</v>
      </c>
      <c r="BD8" s="125">
        <f>AI8*Valores!$C$83</f>
        <v>43999.415460000004</v>
      </c>
      <c r="BE8" s="125">
        <f>AI8*Valores!$C$85</f>
        <v>67884.812424</v>
      </c>
      <c r="BF8" s="125">
        <f>AI8*Valores!$C$84</f>
        <v>7542.756936</v>
      </c>
      <c r="BG8" s="126">
        <v>33</v>
      </c>
      <c r="BH8" s="126">
        <v>45</v>
      </c>
      <c r="BI8" s="123" t="s">
        <v>8</v>
      </c>
    </row>
    <row r="9" spans="1:61" s="110" customFormat="1" ht="11.25" customHeight="1">
      <c r="A9" s="123" t="s">
        <v>107</v>
      </c>
      <c r="B9" s="123">
        <v>1</v>
      </c>
      <c r="C9" s="126">
        <v>2</v>
      </c>
      <c r="D9" s="124" t="s">
        <v>108</v>
      </c>
      <c r="E9" s="192">
        <v>107</v>
      </c>
      <c r="F9" s="125">
        <f>ROUND(E9*Valores!$C$2,2)</f>
        <v>8857.46</v>
      </c>
      <c r="G9" s="192">
        <v>3779</v>
      </c>
      <c r="H9" s="125">
        <f>ROUND(G9*Valores!$C$2,2)</f>
        <v>312825.62</v>
      </c>
      <c r="I9" s="192">
        <v>219</v>
      </c>
      <c r="J9" s="125">
        <f>ROUND(I9*Valores!$C$2,2)</f>
        <v>18128.82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93957.66</v>
      </c>
      <c r="N9" s="125">
        <f t="shared" si="1"/>
        <v>0</v>
      </c>
      <c r="O9" s="125">
        <f>Valores!$C$11</f>
        <v>73808.02</v>
      </c>
      <c r="P9" s="125">
        <f>Valores!$D$5</f>
        <v>42317.14</v>
      </c>
      <c r="Q9" s="125">
        <v>0</v>
      </c>
      <c r="R9" s="125">
        <f>IF($F$4="NO",Valores!$C$47,Valores!$C$47/2)</f>
        <v>36018.74</v>
      </c>
      <c r="S9" s="125">
        <v>0</v>
      </c>
      <c r="T9" s="125">
        <f>ROUND(S9*(1+$H$2),2)</f>
        <v>0</v>
      </c>
      <c r="U9" s="125">
        <f>SUM(F9,H9,J9)</f>
        <v>339811.9</v>
      </c>
      <c r="V9" s="125">
        <f>INT((SUM(F9,H9,J9)*0.4*100)+0.49)/100</f>
        <v>135924.76</v>
      </c>
      <c r="W9" s="192">
        <v>0</v>
      </c>
      <c r="X9" s="125">
        <f>ROUND(W9*Valores!$C$2,2)</f>
        <v>0</v>
      </c>
      <c r="Y9" s="125">
        <v>0</v>
      </c>
      <c r="Z9" s="125">
        <f>Valores!$C$96</f>
        <v>57944.18</v>
      </c>
      <c r="AA9" s="125">
        <f>Valores!$C$25</f>
        <v>1730.69</v>
      </c>
      <c r="AB9" s="214">
        <v>0</v>
      </c>
      <c r="AC9" s="125">
        <f t="shared" si="2"/>
        <v>0</v>
      </c>
      <c r="AD9" s="125">
        <f>Valores!$C$26</f>
        <v>1730.69</v>
      </c>
      <c r="AE9" s="192">
        <v>0</v>
      </c>
      <c r="AF9" s="125">
        <f>ROUND(AE9*Valores!$C$2,2)</f>
        <v>0</v>
      </c>
      <c r="AG9" s="125">
        <f>ROUND(IF($F$4="NO",Valores!$C$64,Valores!$C$64/2),2)</f>
        <v>19786.28</v>
      </c>
      <c r="AH9" s="125">
        <f>SUM(F9,H9,J9,L9,M9,N9,O9,P9,Q9,R9,T9,U9,V9,X9,Y9,Z9,AA9,AC9,AD9,AF9,AG9)*Valores!$C$104</f>
        <v>114284.196</v>
      </c>
      <c r="AI9" s="125">
        <f t="shared" si="3"/>
        <v>1257126.156</v>
      </c>
      <c r="AJ9" s="125">
        <f>Valores!$C$32</f>
        <v>70000</v>
      </c>
      <c r="AK9" s="125">
        <v>0</v>
      </c>
      <c r="AL9" s="125">
        <f>Valores!$C$89</f>
        <v>0</v>
      </c>
      <c r="AM9" s="125">
        <f>Valores!C$39*B9</f>
        <v>0</v>
      </c>
      <c r="AN9" s="125">
        <f>IF($F$3="NO",0,Valores!$C$56)</f>
        <v>0</v>
      </c>
      <c r="AO9" s="125">
        <f t="shared" si="4"/>
        <v>70000</v>
      </c>
      <c r="AP9" s="125">
        <f>AI9*Valores!$C$72</f>
        <v>-138283.87716</v>
      </c>
      <c r="AQ9" s="125">
        <f>IF(AI9&lt;Valores!$E$73,-0.02,IF(AI9&lt;Valores!$F$73,-0.03,-0.04))*AI9</f>
        <v>-50285.046239999996</v>
      </c>
      <c r="AR9" s="125">
        <f>AI9*Valores!$C$75</f>
        <v>-69141.93858</v>
      </c>
      <c r="AS9" s="125">
        <f>Valores!$C$102</f>
        <v>-1270.16</v>
      </c>
      <c r="AT9" s="125">
        <f>IF($F$5=0,Valores!$C$103,(Valores!$C$103+$F$5*(Valores!$C$103)))</f>
        <v>-11714</v>
      </c>
      <c r="AU9" s="125">
        <f aca="true" t="shared" si="6" ref="AU9:AU72">AI9+SUM(AO9:AT9)</f>
        <v>1056431.13402</v>
      </c>
      <c r="AV9" s="125">
        <f t="shared" si="0"/>
        <v>-138283.87716</v>
      </c>
      <c r="AW9" s="125">
        <f aca="true" t="shared" si="7" ref="AW9:AW72">AQ9</f>
        <v>-50285.046239999996</v>
      </c>
      <c r="AX9" s="125">
        <f>AI9*Valores!$C$76</f>
        <v>-33942.406212</v>
      </c>
      <c r="AY9" s="125">
        <f>AI9*Valores!$C$77</f>
        <v>-3771.378468</v>
      </c>
      <c r="AZ9" s="125">
        <f t="shared" si="5"/>
        <v>1100843.44792</v>
      </c>
      <c r="BA9" s="125">
        <f>AI9*Valores!$C$79</f>
        <v>201140.18495999998</v>
      </c>
      <c r="BB9" s="125">
        <f>AI9*Valores!$C$80</f>
        <v>87998.83092000001</v>
      </c>
      <c r="BC9" s="125">
        <f>AI9*Valores!$C$81</f>
        <v>12571.261559999999</v>
      </c>
      <c r="BD9" s="125">
        <f>AI9*Valores!$C$83</f>
        <v>43999.415460000004</v>
      </c>
      <c r="BE9" s="125">
        <f>AI9*Valores!$C$85</f>
        <v>67884.812424</v>
      </c>
      <c r="BF9" s="125">
        <f>AI9*Valores!$C$84</f>
        <v>7542.756936</v>
      </c>
      <c r="BG9" s="126">
        <v>33</v>
      </c>
      <c r="BH9" s="126">
        <v>45</v>
      </c>
      <c r="BI9" s="123" t="s">
        <v>8</v>
      </c>
    </row>
    <row r="10" spans="1:61" s="110" customFormat="1" ht="11.25" customHeight="1">
      <c r="A10" s="123" t="s">
        <v>109</v>
      </c>
      <c r="B10" s="123">
        <v>1</v>
      </c>
      <c r="C10" s="126">
        <v>3</v>
      </c>
      <c r="D10" s="124" t="s">
        <v>110</v>
      </c>
      <c r="E10" s="192">
        <v>107</v>
      </c>
      <c r="F10" s="125">
        <f>ROUND(E10*Valores!$C$2,2)</f>
        <v>8857.46</v>
      </c>
      <c r="G10" s="192">
        <v>3720</v>
      </c>
      <c r="H10" s="125">
        <f>ROUND(G10*Valores!$C$2,2)</f>
        <v>307941.6</v>
      </c>
      <c r="I10" s="192">
        <v>1226</v>
      </c>
      <c r="J10" s="125">
        <f>ROUND(I10*Valores!$C$2,2)</f>
        <v>101488.28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123420.1</v>
      </c>
      <c r="N10" s="125">
        <f t="shared" si="1"/>
        <v>0</v>
      </c>
      <c r="O10" s="125">
        <f>Valores!$C$13</f>
        <v>75819.66</v>
      </c>
      <c r="P10" s="125">
        <f>Valores!$D$5</f>
        <v>42317.14</v>
      </c>
      <c r="Q10" s="125">
        <v>0</v>
      </c>
      <c r="R10" s="125">
        <f>IF($F$4="NO",Valores!$C$47,Valores!$C$47/2)</f>
        <v>36018.74</v>
      </c>
      <c r="S10" s="125">
        <f>Valores!$C$19</f>
        <v>39374.32</v>
      </c>
      <c r="T10" s="125">
        <f>ROUND(S10*(1+$H$2),2)</f>
        <v>39374.32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Valores!$C$96</f>
        <v>57944.18</v>
      </c>
      <c r="AA10" s="125">
        <f>Valores!$C$25</f>
        <v>1730.69</v>
      </c>
      <c r="AB10" s="214">
        <v>0</v>
      </c>
      <c r="AC10" s="125">
        <f t="shared" si="2"/>
        <v>0</v>
      </c>
      <c r="AD10" s="125">
        <f>Valores!$C$26</f>
        <v>1730.69</v>
      </c>
      <c r="AE10" s="192">
        <v>0</v>
      </c>
      <c r="AF10" s="125">
        <f>ROUND(AE10*Valores!$C$2,2)</f>
        <v>0</v>
      </c>
      <c r="AG10" s="125">
        <f>ROUND(IF($F$4="NO",Valores!$C$64,Valores!$C$64/2),2)</f>
        <v>19786.28</v>
      </c>
      <c r="AH10" s="125">
        <f>SUM(F10,H10,J10,L10,M10,N10,O10,P10,Q10,R10,T10,U10,V10,X10,Y10,Z10,AA10,AC10,AD10,AF10,AG10)*Valores!$C$104</f>
        <v>81642.91399999999</v>
      </c>
      <c r="AI10" s="125">
        <f t="shared" si="3"/>
        <v>898072.0539999999</v>
      </c>
      <c r="AJ10" s="125">
        <f>Valores!$C$32</f>
        <v>70000</v>
      </c>
      <c r="AK10" s="125">
        <v>0</v>
      </c>
      <c r="AL10" s="125">
        <f>Valores!$C$89</f>
        <v>0</v>
      </c>
      <c r="AM10" s="125">
        <f>Valores!C$39*B10</f>
        <v>0</v>
      </c>
      <c r="AN10" s="125">
        <f>IF($F$3="NO",0,Valores!$C$56)</f>
        <v>0</v>
      </c>
      <c r="AO10" s="125">
        <f t="shared" si="4"/>
        <v>70000</v>
      </c>
      <c r="AP10" s="125">
        <f>AI10*Valores!$C$72</f>
        <v>-98787.92593999999</v>
      </c>
      <c r="AQ10" s="125">
        <f>IF(AI10&lt;Valores!$E$73,-0.02,IF(AI10&lt;Valores!$F$73,-0.03,-0.04))*AI10</f>
        <v>-26942.161619999995</v>
      </c>
      <c r="AR10" s="125">
        <f>AI10*Valores!$C$75</f>
        <v>-49393.96296999999</v>
      </c>
      <c r="AS10" s="125">
        <f>Valores!$C$102</f>
        <v>-1270.16</v>
      </c>
      <c r="AT10" s="125">
        <f>IF($F$5=0,Valores!$C$103,(Valores!$C$103+$F$5*(Valores!$C$103)))</f>
        <v>-11714</v>
      </c>
      <c r="AU10" s="125">
        <f t="shared" si="6"/>
        <v>779963.84347</v>
      </c>
      <c r="AV10" s="125">
        <f t="shared" si="0"/>
        <v>-98787.92593999999</v>
      </c>
      <c r="AW10" s="125">
        <f t="shared" si="7"/>
        <v>-26942.161619999995</v>
      </c>
      <c r="AX10" s="125">
        <f>AI10*Valores!$C$76</f>
        <v>-24247.945458</v>
      </c>
      <c r="AY10" s="125">
        <f>AI10*Valores!$C$77</f>
        <v>-2694.2161619999997</v>
      </c>
      <c r="AZ10" s="125">
        <f t="shared" si="5"/>
        <v>815399.80482</v>
      </c>
      <c r="BA10" s="125">
        <f>AI10*Valores!$C$79</f>
        <v>143691.52863999997</v>
      </c>
      <c r="BB10" s="125">
        <f>AI10*Valores!$C$80</f>
        <v>62865.04378</v>
      </c>
      <c r="BC10" s="125">
        <f>AI10*Valores!$C$81</f>
        <v>8980.720539999998</v>
      </c>
      <c r="BD10" s="125">
        <f>AI10*Valores!$C$83</f>
        <v>31432.52189</v>
      </c>
      <c r="BE10" s="125">
        <f>AI10*Valores!$C$85</f>
        <v>48495.890916</v>
      </c>
      <c r="BF10" s="125">
        <f>AI10*Valores!$C$84</f>
        <v>5388.432323999999</v>
      </c>
      <c r="BG10" s="126">
        <v>35</v>
      </c>
      <c r="BH10" s="126">
        <v>45</v>
      </c>
      <c r="BI10" s="123" t="s">
        <v>4</v>
      </c>
    </row>
    <row r="11" spans="1:61" s="110" customFormat="1" ht="11.25" customHeight="1">
      <c r="A11" s="123" t="s">
        <v>111</v>
      </c>
      <c r="B11" s="123">
        <v>1</v>
      </c>
      <c r="C11" s="126">
        <v>4</v>
      </c>
      <c r="D11" s="124" t="s">
        <v>112</v>
      </c>
      <c r="E11" s="192">
        <v>107</v>
      </c>
      <c r="F11" s="125">
        <f>ROUND(E11*Valores!$C$2,2)</f>
        <v>8857.46</v>
      </c>
      <c r="G11" s="192">
        <v>3779</v>
      </c>
      <c r="H11" s="125">
        <f>ROUND(G11*Valores!$C$2,2)</f>
        <v>312825.62</v>
      </c>
      <c r="I11" s="192">
        <v>219</v>
      </c>
      <c r="J11" s="125">
        <f>ROUND(I11*Valores!$C$2,2)</f>
        <v>18128.82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93957.66</v>
      </c>
      <c r="N11" s="125">
        <f t="shared" si="1"/>
        <v>0</v>
      </c>
      <c r="O11" s="125">
        <f>Valores!$C$11</f>
        <v>73808.02</v>
      </c>
      <c r="P11" s="125">
        <f>Valores!$D$5</f>
        <v>42317.14</v>
      </c>
      <c r="Q11" s="125">
        <v>0</v>
      </c>
      <c r="R11" s="125">
        <f>IF($F$4="NO",Valores!$C$47,Valores!$C$47/2)</f>
        <v>36018.74</v>
      </c>
      <c r="S11" s="125">
        <v>0</v>
      </c>
      <c r="T11" s="125">
        <f aca="true" t="shared" si="8" ref="T11:T74">ROUND(S11*(1+$H$2),2)</f>
        <v>0</v>
      </c>
      <c r="U11" s="125">
        <f aca="true" t="shared" si="9" ref="U11:U20">SUM(F11,H11,J11)</f>
        <v>339811.9</v>
      </c>
      <c r="V11" s="125">
        <f aca="true" t="shared" si="10" ref="V11:V20">INT((SUM(F11,H11,J11)*0.4*100)+0.49)/100</f>
        <v>135924.76</v>
      </c>
      <c r="W11" s="192">
        <v>0</v>
      </c>
      <c r="X11" s="125">
        <f>ROUND(W11*Valores!$C$2,2)</f>
        <v>0</v>
      </c>
      <c r="Y11" s="125">
        <v>0</v>
      </c>
      <c r="Z11" s="125">
        <f>Valores!$C$96</f>
        <v>57944.18</v>
      </c>
      <c r="AA11" s="125">
        <f>Valores!$C$25</f>
        <v>1730.69</v>
      </c>
      <c r="AB11" s="214">
        <v>0</v>
      </c>
      <c r="AC11" s="125">
        <f t="shared" si="2"/>
        <v>0</v>
      </c>
      <c r="AD11" s="125">
        <f>Valores!$C$26</f>
        <v>1730.69</v>
      </c>
      <c r="AE11" s="192">
        <v>0</v>
      </c>
      <c r="AF11" s="125">
        <f>ROUND(AE11*Valores!$C$2,2)</f>
        <v>0</v>
      </c>
      <c r="AG11" s="125">
        <f>ROUND(IF($F$4="NO",Valores!$C$64,Valores!$C$64/2),2)</f>
        <v>19786.28</v>
      </c>
      <c r="AH11" s="125">
        <f>SUM(F11,H11,J11,L11,M11,N11,O11,P11,Q11,R11,T11,U11,V11,X11,Y11,Z11,AA11,AC11,AD11,AF11,AG11)*Valores!$C$104</f>
        <v>114284.196</v>
      </c>
      <c r="AI11" s="125">
        <f t="shared" si="3"/>
        <v>1257126.156</v>
      </c>
      <c r="AJ11" s="125">
        <f>Valores!$C$32</f>
        <v>70000</v>
      </c>
      <c r="AK11" s="125">
        <v>0</v>
      </c>
      <c r="AL11" s="125">
        <f>Valores!$C$89</f>
        <v>0</v>
      </c>
      <c r="AM11" s="125">
        <f>Valores!C$39*B11</f>
        <v>0</v>
      </c>
      <c r="AN11" s="125">
        <f>IF($F$3="NO",0,Valores!$C$56)</f>
        <v>0</v>
      </c>
      <c r="AO11" s="125">
        <f t="shared" si="4"/>
        <v>70000</v>
      </c>
      <c r="AP11" s="125">
        <f>AI11*Valores!$C$72</f>
        <v>-138283.87716</v>
      </c>
      <c r="AQ11" s="125">
        <f>IF(AI11&lt;Valores!$E$73,-0.02,IF(AI11&lt;Valores!$F$73,-0.03,-0.04))*AI11</f>
        <v>-50285.046239999996</v>
      </c>
      <c r="AR11" s="125">
        <f>AI11*Valores!$C$75</f>
        <v>-69141.93858</v>
      </c>
      <c r="AS11" s="125">
        <f>Valores!$C$102</f>
        <v>-1270.16</v>
      </c>
      <c r="AT11" s="125">
        <f>IF($F$5=0,Valores!$C$103,(Valores!$C$103+$F$5*(Valores!$C$103)))</f>
        <v>-11714</v>
      </c>
      <c r="AU11" s="125">
        <f t="shared" si="6"/>
        <v>1056431.13402</v>
      </c>
      <c r="AV11" s="125">
        <f t="shared" si="0"/>
        <v>-138283.87716</v>
      </c>
      <c r="AW11" s="125">
        <f t="shared" si="7"/>
        <v>-50285.046239999996</v>
      </c>
      <c r="AX11" s="125">
        <f>AI11*Valores!$C$76</f>
        <v>-33942.406212</v>
      </c>
      <c r="AY11" s="125">
        <f>AI11*Valores!$C$77</f>
        <v>-3771.378468</v>
      </c>
      <c r="AZ11" s="125">
        <f t="shared" si="5"/>
        <v>1100843.44792</v>
      </c>
      <c r="BA11" s="125">
        <f>AI11*Valores!$C$79</f>
        <v>201140.18495999998</v>
      </c>
      <c r="BB11" s="125">
        <f>AI11*Valores!$C$80</f>
        <v>87998.83092000001</v>
      </c>
      <c r="BC11" s="125">
        <f>AI11*Valores!$C$81</f>
        <v>12571.261559999999</v>
      </c>
      <c r="BD11" s="125">
        <f>AI11*Valores!$C$83</f>
        <v>43999.415460000004</v>
      </c>
      <c r="BE11" s="125">
        <f>AI11*Valores!$C$85</f>
        <v>67884.812424</v>
      </c>
      <c r="BF11" s="125">
        <f>AI11*Valores!$C$84</f>
        <v>7542.756936</v>
      </c>
      <c r="BG11" s="126">
        <v>33</v>
      </c>
      <c r="BH11" s="126">
        <v>45</v>
      </c>
      <c r="BI11" s="123" t="s">
        <v>8</v>
      </c>
    </row>
    <row r="12" spans="1:61" s="110" customFormat="1" ht="11.25" customHeight="1">
      <c r="A12" s="123" t="s">
        <v>113</v>
      </c>
      <c r="B12" s="123">
        <v>1</v>
      </c>
      <c r="C12" s="126">
        <v>5</v>
      </c>
      <c r="D12" s="124" t="s">
        <v>114</v>
      </c>
      <c r="E12" s="192">
        <v>107</v>
      </c>
      <c r="F12" s="125">
        <f>ROUND(E12*Valores!$C$2,2)</f>
        <v>8857.46</v>
      </c>
      <c r="G12" s="192">
        <v>3779</v>
      </c>
      <c r="H12" s="125">
        <f>ROUND(G12*Valores!$C$2,2)</f>
        <v>312825.62</v>
      </c>
      <c r="I12" s="192">
        <v>219</v>
      </c>
      <c r="J12" s="125">
        <f>ROUND(I12*Valores!$C$2,2)</f>
        <v>18128.82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93957.66</v>
      </c>
      <c r="N12" s="125">
        <f t="shared" si="1"/>
        <v>0</v>
      </c>
      <c r="O12" s="125">
        <f>Valores!$C$11</f>
        <v>73808.02</v>
      </c>
      <c r="P12" s="125">
        <f>Valores!$D$5</f>
        <v>42317.14</v>
      </c>
      <c r="Q12" s="125">
        <v>0</v>
      </c>
      <c r="R12" s="125">
        <f>IF($F$4="NO",Valores!$C$47,Valores!$C$47/2)</f>
        <v>36018.74</v>
      </c>
      <c r="S12" s="125">
        <v>0</v>
      </c>
      <c r="T12" s="125">
        <f t="shared" si="8"/>
        <v>0</v>
      </c>
      <c r="U12" s="125">
        <f t="shared" si="9"/>
        <v>339811.9</v>
      </c>
      <c r="V12" s="125">
        <f t="shared" si="10"/>
        <v>135924.76</v>
      </c>
      <c r="W12" s="192">
        <v>0</v>
      </c>
      <c r="X12" s="125">
        <f>ROUND(W12*Valores!$C$2,2)</f>
        <v>0</v>
      </c>
      <c r="Y12" s="125">
        <v>0</v>
      </c>
      <c r="Z12" s="125">
        <f>Valores!$C$96</f>
        <v>57944.18</v>
      </c>
      <c r="AA12" s="125">
        <f>Valores!$C$25</f>
        <v>1730.69</v>
      </c>
      <c r="AB12" s="214">
        <v>0</v>
      </c>
      <c r="AC12" s="125">
        <f t="shared" si="2"/>
        <v>0</v>
      </c>
      <c r="AD12" s="125">
        <f>Valores!$C$26</f>
        <v>1730.69</v>
      </c>
      <c r="AE12" s="192">
        <v>0</v>
      </c>
      <c r="AF12" s="125">
        <f>ROUND(AE12*Valores!$C$2,2)</f>
        <v>0</v>
      </c>
      <c r="AG12" s="125">
        <f>ROUND(IF($F$4="NO",Valores!$C$64,Valores!$C$64/2),2)</f>
        <v>19786.28</v>
      </c>
      <c r="AH12" s="125">
        <f>SUM(F12,H12,J12,L12,M12,N12,O12,P12,Q12,R12,T12,U12,V12,X12,Y12,Z12,AA12,AC12,AD12,AF12,AG12)*Valores!$C$104</f>
        <v>114284.196</v>
      </c>
      <c r="AI12" s="125">
        <f t="shared" si="3"/>
        <v>1257126.156</v>
      </c>
      <c r="AJ12" s="125">
        <f>Valores!$C$32</f>
        <v>70000</v>
      </c>
      <c r="AK12" s="125">
        <v>0</v>
      </c>
      <c r="AL12" s="125">
        <f>Valores!$C$89</f>
        <v>0</v>
      </c>
      <c r="AM12" s="125">
        <f>Valores!C$39*B12</f>
        <v>0</v>
      </c>
      <c r="AN12" s="125">
        <f>IF($F$3="NO",0,Valores!$C$56)</f>
        <v>0</v>
      </c>
      <c r="AO12" s="125">
        <f t="shared" si="4"/>
        <v>70000</v>
      </c>
      <c r="AP12" s="125">
        <f>AI12*Valores!$C$72</f>
        <v>-138283.87716</v>
      </c>
      <c r="AQ12" s="125">
        <f>IF(AI12&lt;Valores!$E$73,-0.02,IF(AI12&lt;Valores!$F$73,-0.03,-0.04))*AI12</f>
        <v>-50285.046239999996</v>
      </c>
      <c r="AR12" s="125">
        <f>AI12*Valores!$C$75</f>
        <v>-69141.93858</v>
      </c>
      <c r="AS12" s="125">
        <f>Valores!$C$102</f>
        <v>-1270.16</v>
      </c>
      <c r="AT12" s="125">
        <f>IF($F$5=0,Valores!$C$103,(Valores!$C$103+$F$5*(Valores!$C$103)))</f>
        <v>-11714</v>
      </c>
      <c r="AU12" s="125">
        <f t="shared" si="6"/>
        <v>1056431.13402</v>
      </c>
      <c r="AV12" s="125">
        <f t="shared" si="0"/>
        <v>-138283.87716</v>
      </c>
      <c r="AW12" s="125">
        <f t="shared" si="7"/>
        <v>-50285.046239999996</v>
      </c>
      <c r="AX12" s="125">
        <f>AI12*Valores!$C$76</f>
        <v>-33942.406212</v>
      </c>
      <c r="AY12" s="125">
        <f>AI12*Valores!$C$77</f>
        <v>-3771.378468</v>
      </c>
      <c r="AZ12" s="125">
        <f t="shared" si="5"/>
        <v>1100843.44792</v>
      </c>
      <c r="BA12" s="125">
        <f>AI12*Valores!$C$79</f>
        <v>201140.18495999998</v>
      </c>
      <c r="BB12" s="125">
        <f>AI12*Valores!$C$80</f>
        <v>87998.83092000001</v>
      </c>
      <c r="BC12" s="125">
        <f>AI12*Valores!$C$81</f>
        <v>12571.261559999999</v>
      </c>
      <c r="BD12" s="125">
        <f>AI12*Valores!$C$83</f>
        <v>43999.415460000004</v>
      </c>
      <c r="BE12" s="125">
        <f>AI12*Valores!$C$85</f>
        <v>67884.812424</v>
      </c>
      <c r="BF12" s="125">
        <f>AI12*Valores!$C$84</f>
        <v>7542.756936</v>
      </c>
      <c r="BG12" s="126">
        <v>33</v>
      </c>
      <c r="BH12" s="126">
        <v>45</v>
      </c>
      <c r="BI12" s="123" t="s">
        <v>8</v>
      </c>
    </row>
    <row r="13" spans="1:61" s="110" customFormat="1" ht="11.25" customHeight="1">
      <c r="A13" s="123" t="s">
        <v>115</v>
      </c>
      <c r="B13" s="123">
        <v>1</v>
      </c>
      <c r="C13" s="126">
        <v>6</v>
      </c>
      <c r="D13" s="124" t="s">
        <v>116</v>
      </c>
      <c r="E13" s="192">
        <v>107</v>
      </c>
      <c r="F13" s="125">
        <f>ROUND(E13*Valores!$C$2,2)</f>
        <v>8857.46</v>
      </c>
      <c r="G13" s="192">
        <v>3779</v>
      </c>
      <c r="H13" s="125">
        <f>ROUND(G13*Valores!$C$2,2)</f>
        <v>312825.62</v>
      </c>
      <c r="I13" s="192">
        <v>219</v>
      </c>
      <c r="J13" s="125">
        <f>ROUND(I13*Valores!$C$2,2)</f>
        <v>18128.82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93957.66</v>
      </c>
      <c r="N13" s="125">
        <f t="shared" si="1"/>
        <v>0</v>
      </c>
      <c r="O13" s="125">
        <f>Valores!$C$11</f>
        <v>73808.02</v>
      </c>
      <c r="P13" s="125">
        <f>Valores!$D$5</f>
        <v>42317.14</v>
      </c>
      <c r="Q13" s="125">
        <v>0</v>
      </c>
      <c r="R13" s="125">
        <f>IF($F$4="NO",Valores!$C$47,Valores!$C$47/2)</f>
        <v>36018.74</v>
      </c>
      <c r="S13" s="125">
        <v>0</v>
      </c>
      <c r="T13" s="125">
        <f t="shared" si="8"/>
        <v>0</v>
      </c>
      <c r="U13" s="125">
        <f t="shared" si="9"/>
        <v>339811.9</v>
      </c>
      <c r="V13" s="125">
        <f t="shared" si="10"/>
        <v>135924.76</v>
      </c>
      <c r="W13" s="192">
        <v>0</v>
      </c>
      <c r="X13" s="125">
        <f>ROUND(W13*Valores!$C$2,2)</f>
        <v>0</v>
      </c>
      <c r="Y13" s="125">
        <v>0</v>
      </c>
      <c r="Z13" s="125">
        <f>Valores!$C$96</f>
        <v>57944.18</v>
      </c>
      <c r="AA13" s="125">
        <f>Valores!$C$25</f>
        <v>1730.69</v>
      </c>
      <c r="AB13" s="214">
        <v>0</v>
      </c>
      <c r="AC13" s="125">
        <f t="shared" si="2"/>
        <v>0</v>
      </c>
      <c r="AD13" s="125">
        <f>Valores!$C$26</f>
        <v>1730.69</v>
      </c>
      <c r="AE13" s="192">
        <v>0</v>
      </c>
      <c r="AF13" s="125">
        <f>ROUND(AE13*Valores!$C$2,2)</f>
        <v>0</v>
      </c>
      <c r="AG13" s="125">
        <f>ROUND(IF($F$4="NO",Valores!$C$64,Valores!$C$64/2),2)</f>
        <v>19786.28</v>
      </c>
      <c r="AH13" s="125">
        <f>SUM(F13,H13,J13,L13,M13,N13,O13,P13,Q13,R13,T13,U13,V13,X13,Y13,Z13,AA13,AC13,AD13,AF13,AG13)*Valores!$C$104</f>
        <v>114284.196</v>
      </c>
      <c r="AI13" s="125">
        <f t="shared" si="3"/>
        <v>1257126.156</v>
      </c>
      <c r="AJ13" s="125">
        <f>Valores!$C$32</f>
        <v>70000</v>
      </c>
      <c r="AK13" s="125">
        <v>0</v>
      </c>
      <c r="AL13" s="125">
        <f>Valores!$C$89</f>
        <v>0</v>
      </c>
      <c r="AM13" s="125">
        <f>Valores!C$39*B13</f>
        <v>0</v>
      </c>
      <c r="AN13" s="125">
        <f>IF($F$3="NO",0,Valores!$C$56)</f>
        <v>0</v>
      </c>
      <c r="AO13" s="125">
        <f t="shared" si="4"/>
        <v>70000</v>
      </c>
      <c r="AP13" s="125">
        <f>AI13*Valores!$C$72</f>
        <v>-138283.87716</v>
      </c>
      <c r="AQ13" s="125">
        <f>IF(AI13&lt;Valores!$E$73,-0.02,IF(AI13&lt;Valores!$F$73,-0.03,-0.04))*AI13</f>
        <v>-50285.046239999996</v>
      </c>
      <c r="AR13" s="125">
        <f>AI13*Valores!$C$75</f>
        <v>-69141.93858</v>
      </c>
      <c r="AS13" s="125">
        <f>Valores!$C$102</f>
        <v>-1270.16</v>
      </c>
      <c r="AT13" s="125">
        <f>IF($F$5=0,Valores!$C$103,(Valores!$C$103+$F$5*(Valores!$C$103)))</f>
        <v>-11714</v>
      </c>
      <c r="AU13" s="125">
        <f t="shared" si="6"/>
        <v>1056431.13402</v>
      </c>
      <c r="AV13" s="125">
        <f t="shared" si="0"/>
        <v>-138283.87716</v>
      </c>
      <c r="AW13" s="125">
        <f t="shared" si="7"/>
        <v>-50285.046239999996</v>
      </c>
      <c r="AX13" s="125">
        <f>AI13*Valores!$C$76</f>
        <v>-33942.406212</v>
      </c>
      <c r="AY13" s="125">
        <f>AI13*Valores!$C$77</f>
        <v>-3771.378468</v>
      </c>
      <c r="AZ13" s="125">
        <f t="shared" si="5"/>
        <v>1100843.44792</v>
      </c>
      <c r="BA13" s="125">
        <f>AI13*Valores!$C$79</f>
        <v>201140.18495999998</v>
      </c>
      <c r="BB13" s="125">
        <f>AI13*Valores!$C$80</f>
        <v>87998.83092000001</v>
      </c>
      <c r="BC13" s="125">
        <f>AI13*Valores!$C$81</f>
        <v>12571.261559999999</v>
      </c>
      <c r="BD13" s="125">
        <f>AI13*Valores!$C$83</f>
        <v>43999.415460000004</v>
      </c>
      <c r="BE13" s="125">
        <f>AI13*Valores!$C$85</f>
        <v>67884.812424</v>
      </c>
      <c r="BF13" s="125">
        <f>AI13*Valores!$C$84</f>
        <v>7542.756936</v>
      </c>
      <c r="BG13" s="126">
        <v>33</v>
      </c>
      <c r="BH13" s="126">
        <v>45</v>
      </c>
      <c r="BI13" s="123" t="s">
        <v>8</v>
      </c>
    </row>
    <row r="14" spans="1:61" s="110" customFormat="1" ht="11.25" customHeight="1">
      <c r="A14" s="123" t="s">
        <v>117</v>
      </c>
      <c r="B14" s="123">
        <v>1</v>
      </c>
      <c r="C14" s="126">
        <v>7</v>
      </c>
      <c r="D14" s="124" t="s">
        <v>118</v>
      </c>
      <c r="E14" s="192">
        <v>107</v>
      </c>
      <c r="F14" s="125">
        <f>ROUND(E14*Valores!$C$2,2)</f>
        <v>8857.46</v>
      </c>
      <c r="G14" s="192">
        <v>3779</v>
      </c>
      <c r="H14" s="125">
        <f>ROUND(G14*Valores!$C$2,2)</f>
        <v>312825.62</v>
      </c>
      <c r="I14" s="192">
        <v>219</v>
      </c>
      <c r="J14" s="125">
        <f>ROUND(I14*Valores!$C$2,2)</f>
        <v>18128.82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93957.66</v>
      </c>
      <c r="N14" s="125">
        <f t="shared" si="1"/>
        <v>0</v>
      </c>
      <c r="O14" s="125">
        <f>Valores!$C$11</f>
        <v>73808.02</v>
      </c>
      <c r="P14" s="125">
        <f>Valores!$D$5</f>
        <v>42317.14</v>
      </c>
      <c r="Q14" s="125">
        <v>0</v>
      </c>
      <c r="R14" s="125">
        <f>IF($F$4="NO",Valores!$C$47,Valores!$C$47/2)</f>
        <v>36018.74</v>
      </c>
      <c r="S14" s="125">
        <v>0</v>
      </c>
      <c r="T14" s="125">
        <f t="shared" si="8"/>
        <v>0</v>
      </c>
      <c r="U14" s="125">
        <f t="shared" si="9"/>
        <v>339811.9</v>
      </c>
      <c r="V14" s="125">
        <f t="shared" si="10"/>
        <v>135924.76</v>
      </c>
      <c r="W14" s="192">
        <v>0</v>
      </c>
      <c r="X14" s="125">
        <f>ROUND(W14*Valores!$C$2,2)</f>
        <v>0</v>
      </c>
      <c r="Y14" s="125">
        <v>0</v>
      </c>
      <c r="Z14" s="125">
        <f>Valores!$C$96</f>
        <v>57944.18</v>
      </c>
      <c r="AA14" s="125">
        <f>Valores!$C$25</f>
        <v>1730.69</v>
      </c>
      <c r="AB14" s="214">
        <v>0</v>
      </c>
      <c r="AC14" s="125">
        <f t="shared" si="2"/>
        <v>0</v>
      </c>
      <c r="AD14" s="125">
        <f>Valores!$C$26</f>
        <v>1730.69</v>
      </c>
      <c r="AE14" s="192">
        <v>0</v>
      </c>
      <c r="AF14" s="125">
        <f>ROUND(AE14*Valores!$C$2,2)</f>
        <v>0</v>
      </c>
      <c r="AG14" s="125">
        <f>ROUND(IF($F$4="NO",Valores!$C$64,Valores!$C$64/2),2)</f>
        <v>19786.28</v>
      </c>
      <c r="AH14" s="125">
        <f>SUM(F14,H14,J14,L14,M14,N14,O14,P14,Q14,R14,T14,U14,V14,X14,Y14,Z14,AA14,AC14,AD14,AF14,AG14)*Valores!$C$104</f>
        <v>114284.196</v>
      </c>
      <c r="AI14" s="125">
        <f t="shared" si="3"/>
        <v>1257126.156</v>
      </c>
      <c r="AJ14" s="125">
        <f>Valores!$C$32</f>
        <v>70000</v>
      </c>
      <c r="AK14" s="125">
        <v>0</v>
      </c>
      <c r="AL14" s="125">
        <f>Valores!$C$89</f>
        <v>0</v>
      </c>
      <c r="AM14" s="125">
        <f>Valores!C$39*B14</f>
        <v>0</v>
      </c>
      <c r="AN14" s="125">
        <f>IF($F$3="NO",0,Valores!$C$56)</f>
        <v>0</v>
      </c>
      <c r="AO14" s="125">
        <f t="shared" si="4"/>
        <v>70000</v>
      </c>
      <c r="AP14" s="125">
        <f>AI14*Valores!$C$72</f>
        <v>-138283.87716</v>
      </c>
      <c r="AQ14" s="125">
        <f>IF(AI14&lt;Valores!$E$73,-0.02,IF(AI14&lt;Valores!$F$73,-0.03,-0.04))*AI14</f>
        <v>-50285.046239999996</v>
      </c>
      <c r="AR14" s="125">
        <f>AI14*Valores!$C$75</f>
        <v>-69141.93858</v>
      </c>
      <c r="AS14" s="125">
        <f>Valores!$C$102</f>
        <v>-1270.16</v>
      </c>
      <c r="AT14" s="125">
        <f>IF($F$5=0,Valores!$C$103,(Valores!$C$103+$F$5*(Valores!$C$103)))</f>
        <v>-11714</v>
      </c>
      <c r="AU14" s="125">
        <f t="shared" si="6"/>
        <v>1056431.13402</v>
      </c>
      <c r="AV14" s="125">
        <f t="shared" si="0"/>
        <v>-138283.87716</v>
      </c>
      <c r="AW14" s="125">
        <f t="shared" si="7"/>
        <v>-50285.046239999996</v>
      </c>
      <c r="AX14" s="125">
        <f>AI14*Valores!$C$76</f>
        <v>-33942.406212</v>
      </c>
      <c r="AY14" s="125">
        <f>AI14*Valores!$C$77</f>
        <v>-3771.378468</v>
      </c>
      <c r="AZ14" s="125">
        <f t="shared" si="5"/>
        <v>1100843.44792</v>
      </c>
      <c r="BA14" s="125">
        <f>AI14*Valores!$C$79</f>
        <v>201140.18495999998</v>
      </c>
      <c r="BB14" s="125">
        <f>AI14*Valores!$C$80</f>
        <v>87998.83092000001</v>
      </c>
      <c r="BC14" s="125">
        <f>AI14*Valores!$C$81</f>
        <v>12571.261559999999</v>
      </c>
      <c r="BD14" s="125">
        <f>AI14*Valores!$C$83</f>
        <v>43999.415460000004</v>
      </c>
      <c r="BE14" s="125">
        <f>AI14*Valores!$C$85</f>
        <v>67884.812424</v>
      </c>
      <c r="BF14" s="125">
        <f>AI14*Valores!$C$84</f>
        <v>7542.756936</v>
      </c>
      <c r="BG14" s="126">
        <v>33</v>
      </c>
      <c r="BH14" s="126">
        <v>45</v>
      </c>
      <c r="BI14" s="123" t="s">
        <v>8</v>
      </c>
    </row>
    <row r="15" spans="1:61" s="110" customFormat="1" ht="11.25" customHeight="1">
      <c r="A15" s="123" t="s">
        <v>119</v>
      </c>
      <c r="B15" s="123">
        <v>1</v>
      </c>
      <c r="C15" s="126">
        <v>8</v>
      </c>
      <c r="D15" s="124" t="s">
        <v>120</v>
      </c>
      <c r="E15" s="192">
        <v>107</v>
      </c>
      <c r="F15" s="125">
        <f>ROUND(E15*Valores!$C$2,2)</f>
        <v>8857.46</v>
      </c>
      <c r="G15" s="192">
        <v>3779</v>
      </c>
      <c r="H15" s="125">
        <f>ROUND(G15*Valores!$C$2,2)</f>
        <v>312825.62</v>
      </c>
      <c r="I15" s="192">
        <v>219</v>
      </c>
      <c r="J15" s="125">
        <f>ROUND(I15*Valores!$C$2,2)</f>
        <v>18128.82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93957.66</v>
      </c>
      <c r="N15" s="125">
        <f t="shared" si="1"/>
        <v>0</v>
      </c>
      <c r="O15" s="125">
        <f>Valores!$C$11</f>
        <v>73808.02</v>
      </c>
      <c r="P15" s="125">
        <f>Valores!$D$5</f>
        <v>42317.14</v>
      </c>
      <c r="Q15" s="125">
        <v>0</v>
      </c>
      <c r="R15" s="125">
        <f>IF($F$4="NO",Valores!$C$47,Valores!$C$47/2)</f>
        <v>36018.74</v>
      </c>
      <c r="S15" s="125">
        <v>0</v>
      </c>
      <c r="T15" s="125">
        <f t="shared" si="8"/>
        <v>0</v>
      </c>
      <c r="U15" s="125">
        <f t="shared" si="9"/>
        <v>339811.9</v>
      </c>
      <c r="V15" s="125">
        <f t="shared" si="10"/>
        <v>135924.76</v>
      </c>
      <c r="W15" s="192">
        <v>0</v>
      </c>
      <c r="X15" s="125">
        <f>ROUND(W15*Valores!$C$2,2)</f>
        <v>0</v>
      </c>
      <c r="Y15" s="125">
        <v>0</v>
      </c>
      <c r="Z15" s="125">
        <f>Valores!$C$96</f>
        <v>57944.18</v>
      </c>
      <c r="AA15" s="125">
        <f>Valores!$C$25</f>
        <v>1730.69</v>
      </c>
      <c r="AB15" s="214">
        <v>0</v>
      </c>
      <c r="AC15" s="125">
        <f t="shared" si="2"/>
        <v>0</v>
      </c>
      <c r="AD15" s="125">
        <f>Valores!$C$26</f>
        <v>1730.69</v>
      </c>
      <c r="AE15" s="192">
        <v>0</v>
      </c>
      <c r="AF15" s="125">
        <f>ROUND(AE15*Valores!$C$2,2)</f>
        <v>0</v>
      </c>
      <c r="AG15" s="125">
        <f>ROUND(IF($F$4="NO",Valores!$C$64,Valores!$C$64/2),2)</f>
        <v>19786.28</v>
      </c>
      <c r="AH15" s="125">
        <f>SUM(F15,H15,J15,L15,M15,N15,O15,P15,Q15,R15,T15,U15,V15,X15,Y15,Z15,AA15,AC15,AD15,AF15,AG15)*Valores!$C$104</f>
        <v>114284.196</v>
      </c>
      <c r="AI15" s="125">
        <f t="shared" si="3"/>
        <v>1257126.156</v>
      </c>
      <c r="AJ15" s="125">
        <f>Valores!$C$32</f>
        <v>70000</v>
      </c>
      <c r="AK15" s="125">
        <v>0</v>
      </c>
      <c r="AL15" s="125">
        <f>Valores!$C$89</f>
        <v>0</v>
      </c>
      <c r="AM15" s="125">
        <f>Valores!C$39*B15</f>
        <v>0</v>
      </c>
      <c r="AN15" s="125">
        <f>IF($F$3="NO",0,Valores!$C$56)</f>
        <v>0</v>
      </c>
      <c r="AO15" s="125">
        <f t="shared" si="4"/>
        <v>70000</v>
      </c>
      <c r="AP15" s="125">
        <f>AI15*Valores!$C$72</f>
        <v>-138283.87716</v>
      </c>
      <c r="AQ15" s="125">
        <f>IF(AI15&lt;Valores!$E$73,-0.02,IF(AI15&lt;Valores!$F$73,-0.03,-0.04))*AI15</f>
        <v>-50285.046239999996</v>
      </c>
      <c r="AR15" s="125">
        <f>AI15*Valores!$C$75</f>
        <v>-69141.93858</v>
      </c>
      <c r="AS15" s="125">
        <f>Valores!$C$102</f>
        <v>-1270.16</v>
      </c>
      <c r="AT15" s="125">
        <f>IF($F$5=0,Valores!$C$103,(Valores!$C$103+$F$5*(Valores!$C$103)))</f>
        <v>-11714</v>
      </c>
      <c r="AU15" s="125">
        <f t="shared" si="6"/>
        <v>1056431.13402</v>
      </c>
      <c r="AV15" s="125">
        <f t="shared" si="0"/>
        <v>-138283.87716</v>
      </c>
      <c r="AW15" s="125">
        <f t="shared" si="7"/>
        <v>-50285.046239999996</v>
      </c>
      <c r="AX15" s="125">
        <f>AI15*Valores!$C$76</f>
        <v>-33942.406212</v>
      </c>
      <c r="AY15" s="125">
        <f>AI15*Valores!$C$77</f>
        <v>-3771.378468</v>
      </c>
      <c r="AZ15" s="125">
        <f t="shared" si="5"/>
        <v>1100843.44792</v>
      </c>
      <c r="BA15" s="125">
        <f>AI15*Valores!$C$79</f>
        <v>201140.18495999998</v>
      </c>
      <c r="BB15" s="125">
        <f>AI15*Valores!$C$80</f>
        <v>87998.83092000001</v>
      </c>
      <c r="BC15" s="125">
        <f>AI15*Valores!$C$81</f>
        <v>12571.261559999999</v>
      </c>
      <c r="BD15" s="125">
        <f>AI15*Valores!$C$83</f>
        <v>43999.415460000004</v>
      </c>
      <c r="BE15" s="125">
        <f>AI15*Valores!$C$85</f>
        <v>67884.812424</v>
      </c>
      <c r="BF15" s="125">
        <f>AI15*Valores!$C$84</f>
        <v>7542.756936</v>
      </c>
      <c r="BG15" s="126">
        <v>33</v>
      </c>
      <c r="BH15" s="126">
        <v>45</v>
      </c>
      <c r="BI15" s="123" t="s">
        <v>8</v>
      </c>
    </row>
    <row r="16" spans="1:61" s="110" customFormat="1" ht="11.25" customHeight="1">
      <c r="A16" s="123" t="s">
        <v>121</v>
      </c>
      <c r="B16" s="123">
        <v>1</v>
      </c>
      <c r="C16" s="126">
        <v>9</v>
      </c>
      <c r="D16" s="124" t="s">
        <v>122</v>
      </c>
      <c r="E16" s="192">
        <v>100</v>
      </c>
      <c r="F16" s="125">
        <f>ROUND(E16*Valores!$C$2,2)</f>
        <v>8278</v>
      </c>
      <c r="G16" s="192">
        <v>3727</v>
      </c>
      <c r="H16" s="125">
        <f>ROUND(G16*Valores!$C$2,2)</f>
        <v>308521.06</v>
      </c>
      <c r="I16" s="192">
        <v>219</v>
      </c>
      <c r="J16" s="125">
        <f>ROUND(I16*Valores!$C$2,2)</f>
        <v>18128.82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92736.66</v>
      </c>
      <c r="N16" s="125">
        <f t="shared" si="1"/>
        <v>0</v>
      </c>
      <c r="O16" s="125">
        <f>Valores!$C$11</f>
        <v>73808.02</v>
      </c>
      <c r="P16" s="125">
        <f>Valores!$D$5</f>
        <v>42317.14</v>
      </c>
      <c r="Q16" s="125">
        <v>0</v>
      </c>
      <c r="R16" s="125">
        <f>IF($F$4="NO",Valores!$C$47,Valores!$C$47/2)</f>
        <v>36018.74</v>
      </c>
      <c r="S16" s="125">
        <v>0</v>
      </c>
      <c r="T16" s="125">
        <f t="shared" si="8"/>
        <v>0</v>
      </c>
      <c r="U16" s="125">
        <f t="shared" si="9"/>
        <v>334927.88</v>
      </c>
      <c r="V16" s="125">
        <f t="shared" si="10"/>
        <v>133971.15</v>
      </c>
      <c r="W16" s="192">
        <v>0</v>
      </c>
      <c r="X16" s="125">
        <f>ROUND(W16*Valores!$C$2,2)</f>
        <v>0</v>
      </c>
      <c r="Y16" s="125">
        <v>0</v>
      </c>
      <c r="Z16" s="125">
        <f>Valores!$C$96</f>
        <v>57944.18</v>
      </c>
      <c r="AA16" s="125">
        <f>Valores!$C$25</f>
        <v>1730.69</v>
      </c>
      <c r="AB16" s="214">
        <v>0</v>
      </c>
      <c r="AC16" s="125">
        <f t="shared" si="2"/>
        <v>0</v>
      </c>
      <c r="AD16" s="125">
        <f>Valores!$C$26</f>
        <v>1730.69</v>
      </c>
      <c r="AE16" s="192">
        <v>0</v>
      </c>
      <c r="AF16" s="125">
        <f>ROUND(AE16*Valores!$C$2,2)</f>
        <v>0</v>
      </c>
      <c r="AG16" s="125">
        <f>ROUND(IF($F$4="NO",Valores!$C$64,Valores!$C$64/2),2)</f>
        <v>19786.28</v>
      </c>
      <c r="AH16" s="125">
        <f>SUM(F16,H16,J16,L16,M16,N16,O16,P16,Q16,R16,T16,U16,V16,X16,Y16,Z16,AA16,AC16,AD16,AF16,AG16)*Valores!$C$104</f>
        <v>112989.93099999998</v>
      </c>
      <c r="AI16" s="125">
        <f t="shared" si="3"/>
        <v>1242889.241</v>
      </c>
      <c r="AJ16" s="125">
        <f>Valores!$C$32</f>
        <v>70000</v>
      </c>
      <c r="AK16" s="125">
        <v>0</v>
      </c>
      <c r="AL16" s="125">
        <f>Valores!$C$89</f>
        <v>0</v>
      </c>
      <c r="AM16" s="125">
        <f>Valores!C$39*B16</f>
        <v>0</v>
      </c>
      <c r="AN16" s="125">
        <f>IF($F$3="NO",0,Valores!$C$56)</f>
        <v>0</v>
      </c>
      <c r="AO16" s="125">
        <f t="shared" si="4"/>
        <v>70000</v>
      </c>
      <c r="AP16" s="125">
        <f>AI16*Valores!$C$72</f>
        <v>-136717.81651</v>
      </c>
      <c r="AQ16" s="125">
        <f>IF(AI16&lt;Valores!$E$73,-0.02,IF(AI16&lt;Valores!$F$73,-0.03,-0.04))*AI16</f>
        <v>-49715.56964</v>
      </c>
      <c r="AR16" s="125">
        <f>AI16*Valores!$C$75</f>
        <v>-68358.908255</v>
      </c>
      <c r="AS16" s="125">
        <f>Valores!$C$102</f>
        <v>-1270.16</v>
      </c>
      <c r="AT16" s="125">
        <f>IF($F$5=0,Valores!$C$103,(Valores!$C$103+$F$5*(Valores!$C$103)))</f>
        <v>-11714</v>
      </c>
      <c r="AU16" s="125">
        <f t="shared" si="6"/>
        <v>1045112.786595</v>
      </c>
      <c r="AV16" s="125">
        <f t="shared" si="0"/>
        <v>-136717.81651</v>
      </c>
      <c r="AW16" s="125">
        <f t="shared" si="7"/>
        <v>-49715.56964</v>
      </c>
      <c r="AX16" s="125">
        <f>AI16*Valores!$C$76</f>
        <v>-33558.009506999995</v>
      </c>
      <c r="AY16" s="125">
        <f>AI16*Valores!$C$77</f>
        <v>-3728.667723</v>
      </c>
      <c r="AZ16" s="125">
        <f t="shared" si="5"/>
        <v>1089169.17762</v>
      </c>
      <c r="BA16" s="125">
        <f>AI16*Valores!$C$79</f>
        <v>198862.27856</v>
      </c>
      <c r="BB16" s="125">
        <f>AI16*Valores!$C$80</f>
        <v>87002.24687</v>
      </c>
      <c r="BC16" s="125">
        <f>AI16*Valores!$C$81</f>
        <v>12428.89241</v>
      </c>
      <c r="BD16" s="125">
        <f>AI16*Valores!$C$83</f>
        <v>43501.123435</v>
      </c>
      <c r="BE16" s="125">
        <f>AI16*Valores!$C$85</f>
        <v>67116.01901399999</v>
      </c>
      <c r="BF16" s="125">
        <f>AI16*Valores!$C$84</f>
        <v>7457.335446</v>
      </c>
      <c r="BG16" s="126">
        <v>33</v>
      </c>
      <c r="BH16" s="126">
        <v>45</v>
      </c>
      <c r="BI16" s="123" t="s">
        <v>8</v>
      </c>
    </row>
    <row r="17" spans="1:61" s="110" customFormat="1" ht="11.25" customHeight="1">
      <c r="A17" s="123" t="s">
        <v>123</v>
      </c>
      <c r="B17" s="123">
        <v>1</v>
      </c>
      <c r="C17" s="126">
        <v>10</v>
      </c>
      <c r="D17" s="124" t="s">
        <v>124</v>
      </c>
      <c r="E17" s="192">
        <v>100</v>
      </c>
      <c r="F17" s="125">
        <f>ROUND(E17*Valores!$C$2,2)</f>
        <v>8278</v>
      </c>
      <c r="G17" s="192">
        <v>3727</v>
      </c>
      <c r="H17" s="125">
        <f>ROUND(G17*Valores!$C$2,2)</f>
        <v>308521.06</v>
      </c>
      <c r="I17" s="192">
        <v>219</v>
      </c>
      <c r="J17" s="125">
        <f>ROUND(I17*Valores!$C$2,2)</f>
        <v>18128.82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92736.66</v>
      </c>
      <c r="N17" s="125">
        <f t="shared" si="1"/>
        <v>0</v>
      </c>
      <c r="O17" s="125">
        <f>Valores!$C$11</f>
        <v>73808.02</v>
      </c>
      <c r="P17" s="125">
        <f>Valores!$D$5</f>
        <v>42317.14</v>
      </c>
      <c r="Q17" s="125">
        <v>0</v>
      </c>
      <c r="R17" s="125">
        <f>IF($F$4="NO",Valores!$C$47,Valores!$C$47/2)</f>
        <v>36018.74</v>
      </c>
      <c r="S17" s="125">
        <v>0</v>
      </c>
      <c r="T17" s="125">
        <f t="shared" si="8"/>
        <v>0</v>
      </c>
      <c r="U17" s="125">
        <f t="shared" si="9"/>
        <v>334927.88</v>
      </c>
      <c r="V17" s="125">
        <f t="shared" si="10"/>
        <v>133971.15</v>
      </c>
      <c r="W17" s="192">
        <v>0</v>
      </c>
      <c r="X17" s="125">
        <f>ROUND(W17*Valores!$C$2,2)</f>
        <v>0</v>
      </c>
      <c r="Y17" s="125">
        <v>0</v>
      </c>
      <c r="Z17" s="125">
        <f>Valores!$C$96</f>
        <v>57944.18</v>
      </c>
      <c r="AA17" s="125">
        <f>Valores!$C$25</f>
        <v>1730.69</v>
      </c>
      <c r="AB17" s="214">
        <v>0</v>
      </c>
      <c r="AC17" s="125">
        <f t="shared" si="2"/>
        <v>0</v>
      </c>
      <c r="AD17" s="125">
        <f>Valores!$C$26</f>
        <v>1730.69</v>
      </c>
      <c r="AE17" s="192">
        <v>0</v>
      </c>
      <c r="AF17" s="125">
        <f>ROUND(AE17*Valores!$C$2,2)</f>
        <v>0</v>
      </c>
      <c r="AG17" s="125">
        <f>ROUND(IF($F$4="NO",Valores!$C$64,Valores!$C$64/2),2)</f>
        <v>19786.28</v>
      </c>
      <c r="AH17" s="125">
        <f>SUM(F17,H17,J17,L17,M17,N17,O17,P17,Q17,R17,T17,U17,V17,X17,Y17,Z17,AA17,AC17,AD17,AF17,AG17)*Valores!$C$104</f>
        <v>112989.93099999998</v>
      </c>
      <c r="AI17" s="125">
        <f t="shared" si="3"/>
        <v>1242889.241</v>
      </c>
      <c r="AJ17" s="125">
        <f>Valores!$C$32</f>
        <v>70000</v>
      </c>
      <c r="AK17" s="125">
        <v>0</v>
      </c>
      <c r="AL17" s="125">
        <f>Valores!$C$89</f>
        <v>0</v>
      </c>
      <c r="AM17" s="125">
        <f>Valores!C$39*B17</f>
        <v>0</v>
      </c>
      <c r="AN17" s="125">
        <f>IF($F$3="NO",0,Valores!$C$56)</f>
        <v>0</v>
      </c>
      <c r="AO17" s="125">
        <f t="shared" si="4"/>
        <v>70000</v>
      </c>
      <c r="AP17" s="125">
        <f>AI17*Valores!$C$72</f>
        <v>-136717.81651</v>
      </c>
      <c r="AQ17" s="125">
        <f>IF(AI17&lt;Valores!$E$73,-0.02,IF(AI17&lt;Valores!$F$73,-0.03,-0.04))*AI17</f>
        <v>-49715.56964</v>
      </c>
      <c r="AR17" s="125">
        <f>AI17*Valores!$C$75</f>
        <v>-68358.908255</v>
      </c>
      <c r="AS17" s="125">
        <f>Valores!$C$102</f>
        <v>-1270.16</v>
      </c>
      <c r="AT17" s="125">
        <f>IF($F$5=0,Valores!$C$103,(Valores!$C$103+$F$5*(Valores!$C$103)))</f>
        <v>-11714</v>
      </c>
      <c r="AU17" s="125">
        <f t="shared" si="6"/>
        <v>1045112.786595</v>
      </c>
      <c r="AV17" s="125">
        <f t="shared" si="0"/>
        <v>-136717.81651</v>
      </c>
      <c r="AW17" s="125">
        <f t="shared" si="7"/>
        <v>-49715.56964</v>
      </c>
      <c r="AX17" s="125">
        <f>AI17*Valores!$C$76</f>
        <v>-33558.009506999995</v>
      </c>
      <c r="AY17" s="125">
        <f>AI17*Valores!$C$77</f>
        <v>-3728.667723</v>
      </c>
      <c r="AZ17" s="125">
        <f t="shared" si="5"/>
        <v>1089169.17762</v>
      </c>
      <c r="BA17" s="125">
        <f>AI17*Valores!$C$79</f>
        <v>198862.27856</v>
      </c>
      <c r="BB17" s="125">
        <f>AI17*Valores!$C$80</f>
        <v>87002.24687</v>
      </c>
      <c r="BC17" s="125">
        <f>AI17*Valores!$C$81</f>
        <v>12428.89241</v>
      </c>
      <c r="BD17" s="125">
        <f>AI17*Valores!$C$83</f>
        <v>43501.123435</v>
      </c>
      <c r="BE17" s="125">
        <f>AI17*Valores!$C$85</f>
        <v>67116.01901399999</v>
      </c>
      <c r="BF17" s="125">
        <f>AI17*Valores!$C$84</f>
        <v>7457.335446</v>
      </c>
      <c r="BG17" s="126">
        <v>33</v>
      </c>
      <c r="BH17" s="126">
        <v>45</v>
      </c>
      <c r="BI17" s="123" t="s">
        <v>8</v>
      </c>
    </row>
    <row r="18" spans="1:61" s="110" customFormat="1" ht="11.25" customHeight="1">
      <c r="A18" s="123" t="s">
        <v>125</v>
      </c>
      <c r="B18" s="123">
        <v>1</v>
      </c>
      <c r="C18" s="126">
        <v>11</v>
      </c>
      <c r="D18" s="124" t="s">
        <v>126</v>
      </c>
      <c r="E18" s="192">
        <v>100</v>
      </c>
      <c r="F18" s="125">
        <f>ROUND(E18*Valores!$C$2,2)</f>
        <v>8278</v>
      </c>
      <c r="G18" s="192">
        <v>3727</v>
      </c>
      <c r="H18" s="125">
        <f>ROUND(G18*Valores!$C$2,2)</f>
        <v>308521.06</v>
      </c>
      <c r="I18" s="192">
        <v>219</v>
      </c>
      <c r="J18" s="125">
        <f>ROUND(I18*Valores!$C$2,2)</f>
        <v>18128.82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92736.66</v>
      </c>
      <c r="N18" s="125">
        <f t="shared" si="1"/>
        <v>0</v>
      </c>
      <c r="O18" s="125">
        <f>Valores!$C$11</f>
        <v>73808.02</v>
      </c>
      <c r="P18" s="125">
        <f>Valores!$D$5</f>
        <v>42317.14</v>
      </c>
      <c r="Q18" s="125">
        <v>0</v>
      </c>
      <c r="R18" s="125">
        <f>IF($F$4="NO",Valores!$C$47,Valores!$C$47/2)</f>
        <v>36018.74</v>
      </c>
      <c r="S18" s="125">
        <v>0</v>
      </c>
      <c r="T18" s="125">
        <f t="shared" si="8"/>
        <v>0</v>
      </c>
      <c r="U18" s="125">
        <f t="shared" si="9"/>
        <v>334927.88</v>
      </c>
      <c r="V18" s="125">
        <f t="shared" si="10"/>
        <v>133971.15</v>
      </c>
      <c r="W18" s="192">
        <v>0</v>
      </c>
      <c r="X18" s="125">
        <f>ROUND(W18*Valores!$C$2,2)</f>
        <v>0</v>
      </c>
      <c r="Y18" s="125">
        <v>0</v>
      </c>
      <c r="Z18" s="125">
        <f>Valores!$C$96</f>
        <v>57944.18</v>
      </c>
      <c r="AA18" s="125">
        <f>Valores!$C$25</f>
        <v>1730.69</v>
      </c>
      <c r="AB18" s="214">
        <v>0</v>
      </c>
      <c r="AC18" s="125">
        <f t="shared" si="2"/>
        <v>0</v>
      </c>
      <c r="AD18" s="125">
        <f>Valores!$C$26</f>
        <v>1730.69</v>
      </c>
      <c r="AE18" s="192">
        <v>0</v>
      </c>
      <c r="AF18" s="125">
        <f>ROUND(AE18*Valores!$C$2,2)</f>
        <v>0</v>
      </c>
      <c r="AG18" s="125">
        <f>ROUND(IF($F$4="NO",Valores!$C$64,Valores!$C$64/2),2)</f>
        <v>19786.28</v>
      </c>
      <c r="AH18" s="125">
        <f>SUM(F18,H18,J18,L18,M18,N18,O18,P18,Q18,R18,T18,U18,V18,X18,Y18,Z18,AA18,AC18,AD18,AF18,AG18)*Valores!$C$104</f>
        <v>112989.93099999998</v>
      </c>
      <c r="AI18" s="125">
        <f t="shared" si="3"/>
        <v>1242889.241</v>
      </c>
      <c r="AJ18" s="125">
        <f>Valores!$C$32</f>
        <v>70000</v>
      </c>
      <c r="AK18" s="125">
        <v>0</v>
      </c>
      <c r="AL18" s="125">
        <f>Valores!$C$89</f>
        <v>0</v>
      </c>
      <c r="AM18" s="125">
        <f>Valores!C$39*B18</f>
        <v>0</v>
      </c>
      <c r="AN18" s="125">
        <f>IF($F$3="NO",0,Valores!$C$56)</f>
        <v>0</v>
      </c>
      <c r="AO18" s="125">
        <f t="shared" si="4"/>
        <v>70000</v>
      </c>
      <c r="AP18" s="125">
        <f>AI18*Valores!$C$72</f>
        <v>-136717.81651</v>
      </c>
      <c r="AQ18" s="125">
        <f>IF(AI18&lt;Valores!$E$73,-0.02,IF(AI18&lt;Valores!$F$73,-0.03,-0.04))*AI18</f>
        <v>-49715.56964</v>
      </c>
      <c r="AR18" s="125">
        <f>AI18*Valores!$C$75</f>
        <v>-68358.908255</v>
      </c>
      <c r="AS18" s="125">
        <f>Valores!$C$102</f>
        <v>-1270.16</v>
      </c>
      <c r="AT18" s="125">
        <f>IF($F$5=0,Valores!$C$103,(Valores!$C$103+$F$5*(Valores!$C$103)))</f>
        <v>-11714</v>
      </c>
      <c r="AU18" s="125">
        <f t="shared" si="6"/>
        <v>1045112.786595</v>
      </c>
      <c r="AV18" s="125">
        <f t="shared" si="0"/>
        <v>-136717.81651</v>
      </c>
      <c r="AW18" s="125">
        <f t="shared" si="7"/>
        <v>-49715.56964</v>
      </c>
      <c r="AX18" s="125">
        <f>AI18*Valores!$C$76</f>
        <v>-33558.009506999995</v>
      </c>
      <c r="AY18" s="125">
        <f>AI18*Valores!$C$77</f>
        <v>-3728.667723</v>
      </c>
      <c r="AZ18" s="125">
        <f t="shared" si="5"/>
        <v>1089169.17762</v>
      </c>
      <c r="BA18" s="125">
        <f>AI18*Valores!$C$79</f>
        <v>198862.27856</v>
      </c>
      <c r="BB18" s="125">
        <f>AI18*Valores!$C$80</f>
        <v>87002.24687</v>
      </c>
      <c r="BC18" s="125">
        <f>AI18*Valores!$C$81</f>
        <v>12428.89241</v>
      </c>
      <c r="BD18" s="125">
        <f>AI18*Valores!$C$83</f>
        <v>43501.123435</v>
      </c>
      <c r="BE18" s="125">
        <f>AI18*Valores!$C$85</f>
        <v>67116.01901399999</v>
      </c>
      <c r="BF18" s="125">
        <f>AI18*Valores!$C$84</f>
        <v>7457.335446</v>
      </c>
      <c r="BG18" s="126"/>
      <c r="BH18" s="126">
        <v>45</v>
      </c>
      <c r="BI18" s="123" t="s">
        <v>8</v>
      </c>
    </row>
    <row r="19" spans="1:61" s="110" customFormat="1" ht="11.25" customHeight="1">
      <c r="A19" s="123" t="s">
        <v>127</v>
      </c>
      <c r="B19" s="123">
        <v>1</v>
      </c>
      <c r="C19" s="126">
        <v>12</v>
      </c>
      <c r="D19" s="124" t="s">
        <v>128</v>
      </c>
      <c r="E19" s="192">
        <v>100</v>
      </c>
      <c r="F19" s="125">
        <f>ROUND(E19*Valores!$C$2,2)</f>
        <v>8278</v>
      </c>
      <c r="G19" s="192">
        <v>3727</v>
      </c>
      <c r="H19" s="125">
        <f>ROUND(G19*Valores!$C$2,2)</f>
        <v>308521.06</v>
      </c>
      <c r="I19" s="192">
        <v>219</v>
      </c>
      <c r="J19" s="125">
        <f>ROUND(I19*Valores!$C$2,2)</f>
        <v>18128.82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92736.66</v>
      </c>
      <c r="N19" s="125">
        <f t="shared" si="1"/>
        <v>0</v>
      </c>
      <c r="O19" s="125">
        <f>Valores!$C$11</f>
        <v>73808.02</v>
      </c>
      <c r="P19" s="125">
        <f>Valores!$D$5</f>
        <v>42317.14</v>
      </c>
      <c r="Q19" s="125">
        <v>0</v>
      </c>
      <c r="R19" s="125">
        <f>IF($F$4="NO",Valores!$C$47,Valores!$C$47/2)</f>
        <v>36018.74</v>
      </c>
      <c r="S19" s="125">
        <v>0</v>
      </c>
      <c r="T19" s="125">
        <f t="shared" si="8"/>
        <v>0</v>
      </c>
      <c r="U19" s="125">
        <f t="shared" si="9"/>
        <v>334927.88</v>
      </c>
      <c r="V19" s="125">
        <f t="shared" si="10"/>
        <v>133971.15</v>
      </c>
      <c r="W19" s="192">
        <v>0</v>
      </c>
      <c r="X19" s="125">
        <f>ROUND(W19*Valores!$C$2,2)</f>
        <v>0</v>
      </c>
      <c r="Y19" s="125">
        <v>0</v>
      </c>
      <c r="Z19" s="125">
        <f>Valores!$C$96</f>
        <v>57944.18</v>
      </c>
      <c r="AA19" s="125">
        <f>Valores!$C$25</f>
        <v>1730.69</v>
      </c>
      <c r="AB19" s="214">
        <v>0</v>
      </c>
      <c r="AC19" s="125">
        <f t="shared" si="2"/>
        <v>0</v>
      </c>
      <c r="AD19" s="125">
        <f>Valores!$C$26</f>
        <v>1730.69</v>
      </c>
      <c r="AE19" s="192">
        <v>0</v>
      </c>
      <c r="AF19" s="125">
        <f>ROUND(AE19*Valores!$C$2,2)</f>
        <v>0</v>
      </c>
      <c r="AG19" s="125">
        <f>ROUND(IF($F$4="NO",Valores!$C$64,Valores!$C$64/2),2)</f>
        <v>19786.28</v>
      </c>
      <c r="AH19" s="125">
        <f>SUM(F19,H19,J19,L19,M19,N19,O19,P19,Q19,R19,T19,U19,V19,X19,Y19,Z19,AA19,AC19,AD19,AF19,AG19)*Valores!$C$104</f>
        <v>112989.93099999998</v>
      </c>
      <c r="AI19" s="125">
        <f t="shared" si="3"/>
        <v>1242889.241</v>
      </c>
      <c r="AJ19" s="125">
        <f>Valores!$C$32</f>
        <v>70000</v>
      </c>
      <c r="AK19" s="125">
        <v>0</v>
      </c>
      <c r="AL19" s="125">
        <f>Valores!$C$89</f>
        <v>0</v>
      </c>
      <c r="AM19" s="125">
        <f>Valores!C$39*B19</f>
        <v>0</v>
      </c>
      <c r="AN19" s="125">
        <f>IF($F$3="NO",0,Valores!$C$56)</f>
        <v>0</v>
      </c>
      <c r="AO19" s="125">
        <f t="shared" si="4"/>
        <v>70000</v>
      </c>
      <c r="AP19" s="125">
        <f>AI19*Valores!$C$72</f>
        <v>-136717.81651</v>
      </c>
      <c r="AQ19" s="125">
        <f>IF(AI19&lt;Valores!$E$73,-0.02,IF(AI19&lt;Valores!$F$73,-0.03,-0.04))*AI19</f>
        <v>-49715.56964</v>
      </c>
      <c r="AR19" s="125">
        <f>AI19*Valores!$C$75</f>
        <v>-68358.908255</v>
      </c>
      <c r="AS19" s="125">
        <f>Valores!$C$102</f>
        <v>-1270.16</v>
      </c>
      <c r="AT19" s="125">
        <f>IF($F$5=0,Valores!$C$103,(Valores!$C$103+$F$5*(Valores!$C$103)))</f>
        <v>-11714</v>
      </c>
      <c r="AU19" s="125">
        <f t="shared" si="6"/>
        <v>1045112.786595</v>
      </c>
      <c r="AV19" s="125">
        <f t="shared" si="0"/>
        <v>-136717.81651</v>
      </c>
      <c r="AW19" s="125">
        <f t="shared" si="7"/>
        <v>-49715.56964</v>
      </c>
      <c r="AX19" s="125">
        <f>AI19*Valores!$C$76</f>
        <v>-33558.009506999995</v>
      </c>
      <c r="AY19" s="125">
        <f>AI19*Valores!$C$77</f>
        <v>-3728.667723</v>
      </c>
      <c r="AZ19" s="125">
        <f t="shared" si="5"/>
        <v>1089169.17762</v>
      </c>
      <c r="BA19" s="125">
        <f>AI19*Valores!$C$79</f>
        <v>198862.27856</v>
      </c>
      <c r="BB19" s="125">
        <f>AI19*Valores!$C$80</f>
        <v>87002.24687</v>
      </c>
      <c r="BC19" s="125">
        <f>AI19*Valores!$C$81</f>
        <v>12428.89241</v>
      </c>
      <c r="BD19" s="125">
        <f>AI19*Valores!$C$83</f>
        <v>43501.123435</v>
      </c>
      <c r="BE19" s="125">
        <f>AI19*Valores!$C$85</f>
        <v>67116.01901399999</v>
      </c>
      <c r="BF19" s="125">
        <f>AI19*Valores!$C$84</f>
        <v>7457.335446</v>
      </c>
      <c r="BG19" s="126"/>
      <c r="BH19" s="126">
        <v>45</v>
      </c>
      <c r="BI19" s="123" t="s">
        <v>8</v>
      </c>
    </row>
    <row r="20" spans="1:61" s="110" customFormat="1" ht="11.25" customHeight="1">
      <c r="A20" s="123" t="s">
        <v>129</v>
      </c>
      <c r="B20" s="123">
        <v>1</v>
      </c>
      <c r="C20" s="126">
        <v>13</v>
      </c>
      <c r="D20" s="124" t="s">
        <v>130</v>
      </c>
      <c r="E20" s="192">
        <v>100</v>
      </c>
      <c r="F20" s="125">
        <f>ROUND(E20*Valores!$C$2,2)</f>
        <v>8278</v>
      </c>
      <c r="G20" s="192">
        <v>3727</v>
      </c>
      <c r="H20" s="125">
        <f>ROUND(G20*Valores!$C$2,2)</f>
        <v>308521.06</v>
      </c>
      <c r="I20" s="192">
        <v>219</v>
      </c>
      <c r="J20" s="125">
        <f>ROUND(I20*Valores!$C$2,2)</f>
        <v>18128.82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92736.66</v>
      </c>
      <c r="N20" s="125">
        <f t="shared" si="1"/>
        <v>0</v>
      </c>
      <c r="O20" s="125">
        <f>Valores!$C$11</f>
        <v>73808.02</v>
      </c>
      <c r="P20" s="125">
        <f>Valores!$D$5</f>
        <v>42317.14</v>
      </c>
      <c r="Q20" s="125">
        <v>0</v>
      </c>
      <c r="R20" s="125">
        <f>IF($F$4="NO",Valores!$C$47,Valores!$C$47/2)</f>
        <v>36018.74</v>
      </c>
      <c r="S20" s="125">
        <v>0</v>
      </c>
      <c r="T20" s="125">
        <f t="shared" si="8"/>
        <v>0</v>
      </c>
      <c r="U20" s="125">
        <f t="shared" si="9"/>
        <v>334927.88</v>
      </c>
      <c r="V20" s="125">
        <f t="shared" si="10"/>
        <v>133971.15</v>
      </c>
      <c r="W20" s="192">
        <v>0</v>
      </c>
      <c r="X20" s="125">
        <f>ROUND(W20*Valores!$C$2,2)</f>
        <v>0</v>
      </c>
      <c r="Y20" s="125">
        <v>0</v>
      </c>
      <c r="Z20" s="125">
        <f>Valores!$C$96</f>
        <v>57944.18</v>
      </c>
      <c r="AA20" s="125">
        <f>Valores!$C$25</f>
        <v>1730.69</v>
      </c>
      <c r="AB20" s="214">
        <v>0</v>
      </c>
      <c r="AC20" s="125">
        <f t="shared" si="2"/>
        <v>0</v>
      </c>
      <c r="AD20" s="125">
        <f>Valores!$C$26</f>
        <v>1730.69</v>
      </c>
      <c r="AE20" s="192">
        <v>0</v>
      </c>
      <c r="AF20" s="125">
        <f>ROUND(AE20*Valores!$C$2,2)</f>
        <v>0</v>
      </c>
      <c r="AG20" s="125">
        <f>ROUND(IF($F$4="NO",Valores!$C$64,Valores!$C$64/2),2)</f>
        <v>19786.28</v>
      </c>
      <c r="AH20" s="125">
        <f>SUM(F20,H20,J20,L20,M20,N20,O20,P20,Q20,R20,T20,U20,V20,X20,Y20,Z20,AA20,AC20,AD20,AF20,AG20)*Valores!$C$104</f>
        <v>112989.93099999998</v>
      </c>
      <c r="AI20" s="125">
        <f t="shared" si="3"/>
        <v>1242889.241</v>
      </c>
      <c r="AJ20" s="125">
        <f>Valores!$C$32</f>
        <v>70000</v>
      </c>
      <c r="AK20" s="125">
        <v>0</v>
      </c>
      <c r="AL20" s="125">
        <f>Valores!$C$89</f>
        <v>0</v>
      </c>
      <c r="AM20" s="125">
        <f>Valores!C$39*B20</f>
        <v>0</v>
      </c>
      <c r="AN20" s="125">
        <f>IF($F$3="NO",0,Valores!$C$56)</f>
        <v>0</v>
      </c>
      <c r="AO20" s="125">
        <f t="shared" si="4"/>
        <v>70000</v>
      </c>
      <c r="AP20" s="125">
        <f>AI20*Valores!$C$72</f>
        <v>-136717.81651</v>
      </c>
      <c r="AQ20" s="125">
        <f>IF(AI20&lt;Valores!$E$73,-0.02,IF(AI20&lt;Valores!$F$73,-0.03,-0.04))*AI20</f>
        <v>-49715.56964</v>
      </c>
      <c r="AR20" s="125">
        <f>AI20*Valores!$C$75</f>
        <v>-68358.908255</v>
      </c>
      <c r="AS20" s="125">
        <f>Valores!$C$102</f>
        <v>-1270.16</v>
      </c>
      <c r="AT20" s="125">
        <f>IF($F$5=0,Valores!$C$103,(Valores!$C$103+$F$5*(Valores!$C$103)))</f>
        <v>-11714</v>
      </c>
      <c r="AU20" s="125">
        <f t="shared" si="6"/>
        <v>1045112.786595</v>
      </c>
      <c r="AV20" s="125">
        <f t="shared" si="0"/>
        <v>-136717.81651</v>
      </c>
      <c r="AW20" s="125">
        <f t="shared" si="7"/>
        <v>-49715.56964</v>
      </c>
      <c r="AX20" s="125">
        <f>AI20*Valores!$C$76</f>
        <v>-33558.009506999995</v>
      </c>
      <c r="AY20" s="125">
        <f>AI20*Valores!$C$77</f>
        <v>-3728.667723</v>
      </c>
      <c r="AZ20" s="125">
        <f t="shared" si="5"/>
        <v>1089169.17762</v>
      </c>
      <c r="BA20" s="125">
        <f>AI20*Valores!$C$79</f>
        <v>198862.27856</v>
      </c>
      <c r="BB20" s="125">
        <f>AI20*Valores!$C$80</f>
        <v>87002.24687</v>
      </c>
      <c r="BC20" s="125">
        <f>AI20*Valores!$C$81</f>
        <v>12428.89241</v>
      </c>
      <c r="BD20" s="125">
        <f>AI20*Valores!$C$83</f>
        <v>43501.123435</v>
      </c>
      <c r="BE20" s="125">
        <f>AI20*Valores!$C$85</f>
        <v>67116.01901399999</v>
      </c>
      <c r="BF20" s="125">
        <f>AI20*Valores!$C$84</f>
        <v>7457.335446</v>
      </c>
      <c r="BG20" s="126"/>
      <c r="BH20" s="126">
        <v>45</v>
      </c>
      <c r="BI20" s="123" t="s">
        <v>8</v>
      </c>
    </row>
    <row r="21" spans="1:61" s="110" customFormat="1" ht="11.25" customHeight="1">
      <c r="A21" s="123" t="s">
        <v>131</v>
      </c>
      <c r="B21" s="123">
        <v>1</v>
      </c>
      <c r="C21" s="126">
        <v>14</v>
      </c>
      <c r="D21" s="124" t="s">
        <v>132</v>
      </c>
      <c r="E21" s="192">
        <v>107</v>
      </c>
      <c r="F21" s="125">
        <f>ROUND(E21*Valores!$C$2,2)</f>
        <v>8857.46</v>
      </c>
      <c r="G21" s="192">
        <v>3720</v>
      </c>
      <c r="H21" s="125">
        <f>ROUND(G21*Valores!$C$2,2)</f>
        <v>307941.6</v>
      </c>
      <c r="I21" s="192">
        <v>1226</v>
      </c>
      <c r="J21" s="125">
        <f>ROUND(I21*Valores!$C$2,2)</f>
        <v>101488.28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125474.36</v>
      </c>
      <c r="N21" s="125">
        <f t="shared" si="1"/>
        <v>0</v>
      </c>
      <c r="O21" s="125">
        <f>Valores!$C$12</f>
        <v>187792.57</v>
      </c>
      <c r="P21" s="125">
        <f>Valores!$D$5</f>
        <v>42317.14</v>
      </c>
      <c r="Q21" s="125">
        <v>0</v>
      </c>
      <c r="R21" s="125">
        <f>IF($F$4="NO",Valores!$C$48,Valores!$C$48/2)</f>
        <v>44235.76</v>
      </c>
      <c r="S21" s="125">
        <f>Valores!$C$19</f>
        <v>39374.32</v>
      </c>
      <c r="T21" s="125">
        <f t="shared" si="8"/>
        <v>39374.32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Valores!$C$98</f>
        <v>115888.34</v>
      </c>
      <c r="AA21" s="125">
        <f>Valores!$C$25</f>
        <v>1730.69</v>
      </c>
      <c r="AB21" s="214">
        <v>0</v>
      </c>
      <c r="AC21" s="125">
        <f t="shared" si="2"/>
        <v>0</v>
      </c>
      <c r="AD21" s="125">
        <f>Valores!$C$26</f>
        <v>1730.69</v>
      </c>
      <c r="AE21" s="192">
        <v>0</v>
      </c>
      <c r="AF21" s="125">
        <f>ROUND(AE21*Valores!$C$2,2)</f>
        <v>0</v>
      </c>
      <c r="AG21" s="125">
        <f>ROUND(IF($F$4="NO",Valores!$C$64,Valores!$C$64/2),2)</f>
        <v>19786.28</v>
      </c>
      <c r="AH21" s="125">
        <f>SUM(F21,H21,J21,L21,M21,N21,O21,P21,Q21,R21,T21,U21,V21,X21,Y21,Z21,AA21,AC21,AD21,AF21,AG21)*Valores!$C$104</f>
        <v>99661.749</v>
      </c>
      <c r="AI21" s="125">
        <f t="shared" si="3"/>
        <v>1096279.2389999998</v>
      </c>
      <c r="AJ21" s="125">
        <f>Valores!$C$32</f>
        <v>70000</v>
      </c>
      <c r="AK21" s="125">
        <v>0</v>
      </c>
      <c r="AL21" s="125">
        <f>Valores!$C$91</f>
        <v>0</v>
      </c>
      <c r="AM21" s="125">
        <f>Valores!C$39*B21</f>
        <v>0</v>
      </c>
      <c r="AN21" s="125">
        <f>IF($F$3="NO",0,Valores!$C$56)</f>
        <v>0</v>
      </c>
      <c r="AO21" s="125">
        <f t="shared" si="4"/>
        <v>70000</v>
      </c>
      <c r="AP21" s="125">
        <f>AI21*Valores!$C$72</f>
        <v>-120590.71628999998</v>
      </c>
      <c r="AQ21" s="125">
        <f>IF(AI21&lt;Valores!$E$73,-0.02,IF(AI21&lt;Valores!$F$73,-0.03,-0.04))*AI21</f>
        <v>-43851.169559999995</v>
      </c>
      <c r="AR21" s="125">
        <f>AI21*Valores!$C$75</f>
        <v>-60295.35814499999</v>
      </c>
      <c r="AS21" s="125">
        <f>Valores!$C$102</f>
        <v>-1270.16</v>
      </c>
      <c r="AT21" s="125">
        <f>IF($F$5=0,Valores!$C$103,(Valores!$C$103+$F$5*(Valores!$C$103)))</f>
        <v>-11714</v>
      </c>
      <c r="AU21" s="125">
        <f t="shared" si="6"/>
        <v>928557.8350049999</v>
      </c>
      <c r="AV21" s="125">
        <f t="shared" si="0"/>
        <v>-120590.71628999998</v>
      </c>
      <c r="AW21" s="125">
        <f t="shared" si="7"/>
        <v>-43851.169559999995</v>
      </c>
      <c r="AX21" s="125">
        <f>AI21*Valores!$C$76</f>
        <v>-29599.539452999994</v>
      </c>
      <c r="AY21" s="125">
        <f>AI21*Valores!$C$77</f>
        <v>-3288.8377169999994</v>
      </c>
      <c r="AZ21" s="125">
        <f t="shared" si="5"/>
        <v>968948.9759799999</v>
      </c>
      <c r="BA21" s="125">
        <f>AI21*Valores!$C$79</f>
        <v>175404.67823999998</v>
      </c>
      <c r="BB21" s="125">
        <f>AI21*Valores!$C$80</f>
        <v>76739.54673</v>
      </c>
      <c r="BC21" s="125">
        <f>AI21*Valores!$C$81</f>
        <v>10962.792389999999</v>
      </c>
      <c r="BD21" s="125">
        <f>AI21*Valores!$C$83</f>
        <v>38369.773365</v>
      </c>
      <c r="BE21" s="125">
        <f>AI21*Valores!$C$85</f>
        <v>59199.07890599999</v>
      </c>
      <c r="BF21" s="125">
        <f>AI21*Valores!$C$84</f>
        <v>6577.675433999999</v>
      </c>
      <c r="BG21" s="126"/>
      <c r="BH21" s="126">
        <v>45</v>
      </c>
      <c r="BI21" s="123" t="s">
        <v>4</v>
      </c>
    </row>
    <row r="22" spans="1:61" s="110" customFormat="1" ht="11.25" customHeight="1">
      <c r="A22" s="123" t="s">
        <v>133</v>
      </c>
      <c r="B22" s="123">
        <v>1</v>
      </c>
      <c r="C22" s="126">
        <v>15</v>
      </c>
      <c r="D22" s="124" t="s">
        <v>134</v>
      </c>
      <c r="E22" s="192">
        <v>100</v>
      </c>
      <c r="F22" s="125">
        <f>ROUND(E22*Valores!$C$2,2)</f>
        <v>8278</v>
      </c>
      <c r="G22" s="192">
        <v>3727</v>
      </c>
      <c r="H22" s="125">
        <f>ROUND(G22*Valores!$C$2,2)</f>
        <v>308521.06</v>
      </c>
      <c r="I22" s="192">
        <v>219</v>
      </c>
      <c r="J22" s="125">
        <f>ROUND(I22*Valores!$C$2,2)</f>
        <v>18128.82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92736.66</v>
      </c>
      <c r="N22" s="125">
        <f t="shared" si="1"/>
        <v>0</v>
      </c>
      <c r="O22" s="125">
        <f>Valores!$C$11</f>
        <v>73808.02</v>
      </c>
      <c r="P22" s="125">
        <f>Valores!$D$5</f>
        <v>42317.14</v>
      </c>
      <c r="Q22" s="125">
        <v>0</v>
      </c>
      <c r="R22" s="125">
        <f>IF($F$4="NO",Valores!$C$47,Valores!$C$47/2)</f>
        <v>36018.74</v>
      </c>
      <c r="S22" s="125">
        <v>0</v>
      </c>
      <c r="T22" s="125">
        <f t="shared" si="8"/>
        <v>0</v>
      </c>
      <c r="U22" s="125">
        <f>SUM(F22,H22,J22)</f>
        <v>334927.88</v>
      </c>
      <c r="V22" s="125">
        <f>INT((SUM(F22,H22,J22)*0.4*100)+0.49)/100</f>
        <v>133971.15</v>
      </c>
      <c r="W22" s="192">
        <v>0</v>
      </c>
      <c r="X22" s="125">
        <f>ROUND(W22*Valores!$C$2,2)</f>
        <v>0</v>
      </c>
      <c r="Y22" s="125">
        <v>0</v>
      </c>
      <c r="Z22" s="125">
        <f>Valores!$C$96</f>
        <v>57944.18</v>
      </c>
      <c r="AA22" s="125">
        <f>Valores!$C$25</f>
        <v>1730.69</v>
      </c>
      <c r="AB22" s="214">
        <v>0</v>
      </c>
      <c r="AC22" s="125">
        <f t="shared" si="2"/>
        <v>0</v>
      </c>
      <c r="AD22" s="125">
        <f>Valores!$C$26</f>
        <v>1730.69</v>
      </c>
      <c r="AE22" s="192">
        <v>0</v>
      </c>
      <c r="AF22" s="125">
        <f>ROUND(AE22*Valores!$C$2,2)</f>
        <v>0</v>
      </c>
      <c r="AG22" s="125">
        <f>ROUND(IF($F$4="NO",Valores!$C$64,Valores!$C$64/2),2)</f>
        <v>19786.28</v>
      </c>
      <c r="AH22" s="125">
        <f>SUM(F22,H22,J22,L22,M22,N22,O22,P22,Q22,R22,T22,U22,V22,X22,Y22,Z22,AA22,AC22,AD22,AF22,AG22)*Valores!$C$104</f>
        <v>112989.93099999998</v>
      </c>
      <c r="AI22" s="125">
        <f t="shared" si="3"/>
        <v>1242889.241</v>
      </c>
      <c r="AJ22" s="125">
        <f>Valores!$C$32</f>
        <v>70000</v>
      </c>
      <c r="AK22" s="125">
        <v>0</v>
      </c>
      <c r="AL22" s="125">
        <f>Valores!$C$89</f>
        <v>0</v>
      </c>
      <c r="AM22" s="125">
        <f>Valores!C$39*B22</f>
        <v>0</v>
      </c>
      <c r="AN22" s="125">
        <f>IF($F$3="NO",0,Valores!$C$56)</f>
        <v>0</v>
      </c>
      <c r="AO22" s="125">
        <f t="shared" si="4"/>
        <v>70000</v>
      </c>
      <c r="AP22" s="125">
        <f>AI22*Valores!$C$72</f>
        <v>-136717.81651</v>
      </c>
      <c r="AQ22" s="125">
        <f>IF(AI22&lt;Valores!$E$73,-0.02,IF(AI22&lt;Valores!$F$73,-0.03,-0.04))*AI22</f>
        <v>-49715.56964</v>
      </c>
      <c r="AR22" s="125">
        <f>AI22*Valores!$C$75</f>
        <v>-68358.908255</v>
      </c>
      <c r="AS22" s="125">
        <f>Valores!$C$102</f>
        <v>-1270.16</v>
      </c>
      <c r="AT22" s="125">
        <f>IF($F$5=0,Valores!$C$103,(Valores!$C$103+$F$5*(Valores!$C$103)))</f>
        <v>-11714</v>
      </c>
      <c r="AU22" s="125">
        <f t="shared" si="6"/>
        <v>1045112.786595</v>
      </c>
      <c r="AV22" s="125">
        <f t="shared" si="0"/>
        <v>-136717.81651</v>
      </c>
      <c r="AW22" s="125">
        <f t="shared" si="7"/>
        <v>-49715.56964</v>
      </c>
      <c r="AX22" s="125">
        <f>AI22*Valores!$C$76</f>
        <v>-33558.009506999995</v>
      </c>
      <c r="AY22" s="125">
        <f>AI22*Valores!$C$77</f>
        <v>-3728.667723</v>
      </c>
      <c r="AZ22" s="125">
        <f t="shared" si="5"/>
        <v>1089169.17762</v>
      </c>
      <c r="BA22" s="125">
        <f>AI22*Valores!$C$79</f>
        <v>198862.27856</v>
      </c>
      <c r="BB22" s="125">
        <f>AI22*Valores!$C$80</f>
        <v>87002.24687</v>
      </c>
      <c r="BC22" s="125">
        <f>AI22*Valores!$C$81</f>
        <v>12428.89241</v>
      </c>
      <c r="BD22" s="125">
        <f>AI22*Valores!$C$83</f>
        <v>43501.123435</v>
      </c>
      <c r="BE22" s="125">
        <f>AI22*Valores!$C$85</f>
        <v>67116.01901399999</v>
      </c>
      <c r="BF22" s="125">
        <f>AI22*Valores!$C$84</f>
        <v>7457.335446</v>
      </c>
      <c r="BG22" s="126"/>
      <c r="BH22" s="126">
        <v>45</v>
      </c>
      <c r="BI22" s="123" t="s">
        <v>8</v>
      </c>
    </row>
    <row r="23" spans="1:61" s="110" customFormat="1" ht="11.25" customHeight="1">
      <c r="A23" s="123" t="s">
        <v>135</v>
      </c>
      <c r="B23" s="123">
        <v>1</v>
      </c>
      <c r="C23" s="126">
        <v>16</v>
      </c>
      <c r="D23" s="124" t="s">
        <v>136</v>
      </c>
      <c r="E23" s="192">
        <v>100</v>
      </c>
      <c r="F23" s="125">
        <f>ROUND(E23*Valores!$C$2,2)</f>
        <v>8278</v>
      </c>
      <c r="G23" s="192">
        <v>3727</v>
      </c>
      <c r="H23" s="125">
        <f>ROUND(G23*Valores!$C$2,2)</f>
        <v>308521.06</v>
      </c>
      <c r="I23" s="192">
        <v>219</v>
      </c>
      <c r="J23" s="125">
        <f>ROUND(I23*Valores!$C$2,2)</f>
        <v>18128.82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92736.66</v>
      </c>
      <c r="N23" s="125">
        <f t="shared" si="1"/>
        <v>0</v>
      </c>
      <c r="O23" s="125">
        <f>Valores!$C$11</f>
        <v>73808.02</v>
      </c>
      <c r="P23" s="125">
        <f>Valores!$D$5</f>
        <v>42317.14</v>
      </c>
      <c r="Q23" s="125">
        <v>0</v>
      </c>
      <c r="R23" s="125">
        <f>IF($F$4="NO",Valores!$C$47,Valores!$C$47/2)</f>
        <v>36018.74</v>
      </c>
      <c r="S23" s="125">
        <v>0</v>
      </c>
      <c r="T23" s="125">
        <f t="shared" si="8"/>
        <v>0</v>
      </c>
      <c r="U23" s="125">
        <f>SUM(F23,H23,J23)</f>
        <v>334927.88</v>
      </c>
      <c r="V23" s="125">
        <f>INT((SUM(F23,H23,J23)*0.4*100)+0.49)/100</f>
        <v>133971.15</v>
      </c>
      <c r="W23" s="192">
        <v>0</v>
      </c>
      <c r="X23" s="125">
        <f>ROUND(W23*Valores!$C$2,2)</f>
        <v>0</v>
      </c>
      <c r="Y23" s="125">
        <v>0</v>
      </c>
      <c r="Z23" s="125">
        <f>Valores!$C$96</f>
        <v>57944.18</v>
      </c>
      <c r="AA23" s="125">
        <f>Valores!$C$25</f>
        <v>1730.69</v>
      </c>
      <c r="AB23" s="214">
        <v>0</v>
      </c>
      <c r="AC23" s="125">
        <f t="shared" si="2"/>
        <v>0</v>
      </c>
      <c r="AD23" s="125">
        <f>Valores!$C$26</f>
        <v>1730.69</v>
      </c>
      <c r="AE23" s="192">
        <v>0</v>
      </c>
      <c r="AF23" s="125">
        <f>ROUND(AE23*Valores!$C$2,2)</f>
        <v>0</v>
      </c>
      <c r="AG23" s="125">
        <f>ROUND(IF($F$4="NO",Valores!$C$64,Valores!$C$64/2),2)</f>
        <v>19786.28</v>
      </c>
      <c r="AH23" s="125">
        <f>SUM(F23,H23,J23,L23,M23,N23,O23,P23,Q23,R23,T23,U23,V23,X23,Y23,Z23,AA23,AC23,AD23,AF23,AG23)*Valores!$C$104</f>
        <v>112989.93099999998</v>
      </c>
      <c r="AI23" s="125">
        <f t="shared" si="3"/>
        <v>1242889.241</v>
      </c>
      <c r="AJ23" s="125">
        <f>Valores!$C$32</f>
        <v>70000</v>
      </c>
      <c r="AK23" s="125">
        <v>0</v>
      </c>
      <c r="AL23" s="125">
        <f>Valores!$C$89</f>
        <v>0</v>
      </c>
      <c r="AM23" s="125">
        <f>Valores!C$39*B23</f>
        <v>0</v>
      </c>
      <c r="AN23" s="125">
        <f>IF($F$3="NO",0,Valores!$C$56)</f>
        <v>0</v>
      </c>
      <c r="AO23" s="125">
        <f t="shared" si="4"/>
        <v>70000</v>
      </c>
      <c r="AP23" s="125">
        <f>AI23*Valores!$C$72</f>
        <v>-136717.81651</v>
      </c>
      <c r="AQ23" s="125">
        <f>IF(AI23&lt;Valores!$E$73,-0.02,IF(AI23&lt;Valores!$F$73,-0.03,-0.04))*AI23</f>
        <v>-49715.56964</v>
      </c>
      <c r="AR23" s="125">
        <f>AI23*Valores!$C$75</f>
        <v>-68358.908255</v>
      </c>
      <c r="AS23" s="125">
        <f>Valores!$C$102</f>
        <v>-1270.16</v>
      </c>
      <c r="AT23" s="125">
        <f>IF($F$5=0,Valores!$C$103,(Valores!$C$103+$F$5*(Valores!$C$103)))</f>
        <v>-11714</v>
      </c>
      <c r="AU23" s="125">
        <f t="shared" si="6"/>
        <v>1045112.786595</v>
      </c>
      <c r="AV23" s="125">
        <f t="shared" si="0"/>
        <v>-136717.81651</v>
      </c>
      <c r="AW23" s="125">
        <f t="shared" si="7"/>
        <v>-49715.56964</v>
      </c>
      <c r="AX23" s="125">
        <f>AI23*Valores!$C$76</f>
        <v>-33558.009506999995</v>
      </c>
      <c r="AY23" s="125">
        <f>AI23*Valores!$C$77</f>
        <v>-3728.667723</v>
      </c>
      <c r="AZ23" s="125">
        <f t="shared" si="5"/>
        <v>1089169.17762</v>
      </c>
      <c r="BA23" s="125">
        <f>AI23*Valores!$C$79</f>
        <v>198862.27856</v>
      </c>
      <c r="BB23" s="125">
        <f>AI23*Valores!$C$80</f>
        <v>87002.24687</v>
      </c>
      <c r="BC23" s="125">
        <f>AI23*Valores!$C$81</f>
        <v>12428.89241</v>
      </c>
      <c r="BD23" s="125">
        <f>AI23*Valores!$C$83</f>
        <v>43501.123435</v>
      </c>
      <c r="BE23" s="125">
        <f>AI23*Valores!$C$85</f>
        <v>67116.01901399999</v>
      </c>
      <c r="BF23" s="125">
        <f>AI23*Valores!$C$84</f>
        <v>7457.335446</v>
      </c>
      <c r="BG23" s="126"/>
      <c r="BH23" s="126">
        <v>45</v>
      </c>
      <c r="BI23" s="123" t="s">
        <v>8</v>
      </c>
    </row>
    <row r="24" spans="1:61" s="110" customFormat="1" ht="11.25" customHeight="1">
      <c r="A24" s="123" t="s">
        <v>137</v>
      </c>
      <c r="B24" s="123">
        <v>1</v>
      </c>
      <c r="C24" s="126">
        <v>17</v>
      </c>
      <c r="D24" s="124" t="s">
        <v>138</v>
      </c>
      <c r="E24" s="192">
        <v>100</v>
      </c>
      <c r="F24" s="125">
        <f>ROUND(E24*Valores!$C$2,2)</f>
        <v>8278</v>
      </c>
      <c r="G24" s="192">
        <v>3727</v>
      </c>
      <c r="H24" s="125">
        <f>ROUND(G24*Valores!$C$2,2)</f>
        <v>308521.06</v>
      </c>
      <c r="I24" s="192">
        <v>219</v>
      </c>
      <c r="J24" s="125">
        <f>ROUND(I24*Valores!$C$2,2)</f>
        <v>18128.82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92736.66</v>
      </c>
      <c r="N24" s="125">
        <f t="shared" si="1"/>
        <v>0</v>
      </c>
      <c r="O24" s="125">
        <f>Valores!$C$11</f>
        <v>73808.02</v>
      </c>
      <c r="P24" s="125">
        <f>Valores!$D$5</f>
        <v>42317.14</v>
      </c>
      <c r="Q24" s="125">
        <v>0</v>
      </c>
      <c r="R24" s="125">
        <f>IF($F$4="NO",Valores!$C$47,Valores!$C$47/2)</f>
        <v>36018.74</v>
      </c>
      <c r="S24" s="125">
        <v>0</v>
      </c>
      <c r="T24" s="125">
        <f t="shared" si="8"/>
        <v>0</v>
      </c>
      <c r="U24" s="125">
        <f>SUM(F24,H24,J24)</f>
        <v>334927.88</v>
      </c>
      <c r="V24" s="125">
        <f>INT((SUM(F24,H24,J24)*0.4*100)+0.49)/100</f>
        <v>133971.15</v>
      </c>
      <c r="W24" s="192">
        <v>0</v>
      </c>
      <c r="X24" s="125">
        <f>ROUND(W24*Valores!$C$2,2)</f>
        <v>0</v>
      </c>
      <c r="Y24" s="125">
        <v>0</v>
      </c>
      <c r="Z24" s="125">
        <f>Valores!$C$96</f>
        <v>57944.18</v>
      </c>
      <c r="AA24" s="125">
        <f>Valores!$C$25</f>
        <v>1730.69</v>
      </c>
      <c r="AB24" s="214">
        <v>0</v>
      </c>
      <c r="AC24" s="125">
        <f t="shared" si="2"/>
        <v>0</v>
      </c>
      <c r="AD24" s="125">
        <f>Valores!$C$26</f>
        <v>1730.69</v>
      </c>
      <c r="AE24" s="192">
        <v>0</v>
      </c>
      <c r="AF24" s="125">
        <f>ROUND(AE24*Valores!$C$2,2)</f>
        <v>0</v>
      </c>
      <c r="AG24" s="125">
        <f>ROUND(IF($F$4="NO",Valores!$C$64,Valores!$C$64/2),2)</f>
        <v>19786.28</v>
      </c>
      <c r="AH24" s="125">
        <f>SUM(F24,H24,J24,L24,M24,N24,O24,P24,Q24,R24,T24,U24,V24,X24,Y24,Z24,AA24,AC24,AD24,AF24,AG24)*Valores!$C$104</f>
        <v>112989.93099999998</v>
      </c>
      <c r="AI24" s="125">
        <f t="shared" si="3"/>
        <v>1242889.241</v>
      </c>
      <c r="AJ24" s="125">
        <f>Valores!$C$32</f>
        <v>70000</v>
      </c>
      <c r="AK24" s="125">
        <v>0</v>
      </c>
      <c r="AL24" s="125">
        <f>Valores!$C$89</f>
        <v>0</v>
      </c>
      <c r="AM24" s="125">
        <f>Valores!C$39*B24</f>
        <v>0</v>
      </c>
      <c r="AN24" s="125">
        <f>IF($F$3="NO",0,Valores!$C$56)</f>
        <v>0</v>
      </c>
      <c r="AO24" s="125">
        <f t="shared" si="4"/>
        <v>70000</v>
      </c>
      <c r="AP24" s="125">
        <f>AI24*Valores!$C$72</f>
        <v>-136717.81651</v>
      </c>
      <c r="AQ24" s="125">
        <f>IF(AI24&lt;Valores!$E$73,-0.02,IF(AI24&lt;Valores!$F$73,-0.03,-0.04))*AI24</f>
        <v>-49715.56964</v>
      </c>
      <c r="AR24" s="125">
        <f>AI24*Valores!$C$75</f>
        <v>-68358.908255</v>
      </c>
      <c r="AS24" s="125">
        <f>Valores!$C$102</f>
        <v>-1270.16</v>
      </c>
      <c r="AT24" s="125">
        <f>IF($F$5=0,Valores!$C$103,(Valores!$C$103+$F$5*(Valores!$C$103)))</f>
        <v>-11714</v>
      </c>
      <c r="AU24" s="125">
        <f t="shared" si="6"/>
        <v>1045112.786595</v>
      </c>
      <c r="AV24" s="125">
        <f t="shared" si="0"/>
        <v>-136717.81651</v>
      </c>
      <c r="AW24" s="125">
        <f t="shared" si="7"/>
        <v>-49715.56964</v>
      </c>
      <c r="AX24" s="125">
        <f>AI24*Valores!$C$76</f>
        <v>-33558.009506999995</v>
      </c>
      <c r="AY24" s="125">
        <f>AI24*Valores!$C$77</f>
        <v>-3728.667723</v>
      </c>
      <c r="AZ24" s="125">
        <f t="shared" si="5"/>
        <v>1089169.17762</v>
      </c>
      <c r="BA24" s="125">
        <f>AI24*Valores!$C$79</f>
        <v>198862.27856</v>
      </c>
      <c r="BB24" s="125">
        <f>AI24*Valores!$C$80</f>
        <v>87002.24687</v>
      </c>
      <c r="BC24" s="125">
        <f>AI24*Valores!$C$81</f>
        <v>12428.89241</v>
      </c>
      <c r="BD24" s="125">
        <f>AI24*Valores!$C$83</f>
        <v>43501.123435</v>
      </c>
      <c r="BE24" s="125">
        <f>AI24*Valores!$C$85</f>
        <v>67116.01901399999</v>
      </c>
      <c r="BF24" s="125">
        <f>AI24*Valores!$C$84</f>
        <v>7457.335446</v>
      </c>
      <c r="BG24" s="126"/>
      <c r="BH24" s="126">
        <v>45</v>
      </c>
      <c r="BI24" s="123" t="s">
        <v>8</v>
      </c>
    </row>
    <row r="25" spans="1:61" s="110" customFormat="1" ht="11.25" customHeight="1">
      <c r="A25" s="123" t="s">
        <v>139</v>
      </c>
      <c r="B25" s="123">
        <v>1</v>
      </c>
      <c r="C25" s="126">
        <v>18</v>
      </c>
      <c r="D25" s="124" t="s">
        <v>140</v>
      </c>
      <c r="E25" s="192">
        <v>96</v>
      </c>
      <c r="F25" s="125">
        <f>ROUND(E25*Valores!$C$2,2)</f>
        <v>7946.88</v>
      </c>
      <c r="G25" s="192">
        <v>3737</v>
      </c>
      <c r="H25" s="125">
        <f>ROUND(G25*Valores!$C$2,2)</f>
        <v>309348.86</v>
      </c>
      <c r="I25" s="192">
        <v>1220</v>
      </c>
      <c r="J25" s="125">
        <f>ROUND(I25*Valores!$C$2,2)</f>
        <v>100991.6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125474.36</v>
      </c>
      <c r="N25" s="125">
        <f t="shared" si="1"/>
        <v>0</v>
      </c>
      <c r="O25" s="125">
        <f>Valores!$C$12</f>
        <v>187792.57</v>
      </c>
      <c r="P25" s="125">
        <f>Valores!$D$5</f>
        <v>42317.14</v>
      </c>
      <c r="Q25" s="125">
        <v>0</v>
      </c>
      <c r="R25" s="125">
        <f>IF($F$4="NO",Valores!$C$48,Valores!$C$48/2)</f>
        <v>44235.76</v>
      </c>
      <c r="S25" s="125">
        <f>Valores!$C$19</f>
        <v>39374.32</v>
      </c>
      <c r="T25" s="125">
        <f t="shared" si="8"/>
        <v>39374.32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Valores!$C$98</f>
        <v>115888.34</v>
      </c>
      <c r="AA25" s="125">
        <f>Valores!$C$25</f>
        <v>1730.69</v>
      </c>
      <c r="AB25" s="214">
        <v>0</v>
      </c>
      <c r="AC25" s="125">
        <f t="shared" si="2"/>
        <v>0</v>
      </c>
      <c r="AD25" s="125">
        <f>Valores!$C$26</f>
        <v>1730.69</v>
      </c>
      <c r="AE25" s="192">
        <v>0</v>
      </c>
      <c r="AF25" s="125">
        <f>ROUND(AE25*Valores!$C$2,2)</f>
        <v>0</v>
      </c>
      <c r="AG25" s="125">
        <f>ROUND(IF($F$4="NO",Valores!$C$64,Valores!$C$64/2),2)</f>
        <v>19786.28</v>
      </c>
      <c r="AH25" s="125">
        <f>SUM(F25,H25,J25,L25,M25,N25,O25,P25,Q25,R25,T25,U25,V25,X25,Y25,Z25,AA25,AC25,AD25,AF25,AG25)*Valores!$C$104</f>
        <v>99661.749</v>
      </c>
      <c r="AI25" s="125">
        <f t="shared" si="3"/>
        <v>1096279.2389999998</v>
      </c>
      <c r="AJ25" s="125">
        <f>Valores!$C$32</f>
        <v>70000</v>
      </c>
      <c r="AK25" s="125">
        <v>0</v>
      </c>
      <c r="AL25" s="125">
        <f>Valores!$C$91</f>
        <v>0</v>
      </c>
      <c r="AM25" s="125">
        <f>Valores!C$39*B25</f>
        <v>0</v>
      </c>
      <c r="AN25" s="125">
        <f>IF($F$3="NO",0,Valores!$C$56)</f>
        <v>0</v>
      </c>
      <c r="AO25" s="125">
        <f t="shared" si="4"/>
        <v>70000</v>
      </c>
      <c r="AP25" s="125">
        <f>AI25*Valores!$C$72</f>
        <v>-120590.71628999998</v>
      </c>
      <c r="AQ25" s="125">
        <f>IF(AI25&lt;Valores!$E$73,-0.02,IF(AI25&lt;Valores!$F$73,-0.03,-0.04))*AI25</f>
        <v>-43851.169559999995</v>
      </c>
      <c r="AR25" s="125">
        <f>AI25*Valores!$C$75</f>
        <v>-60295.35814499999</v>
      </c>
      <c r="AS25" s="125">
        <f>Valores!$C$102</f>
        <v>-1270.16</v>
      </c>
      <c r="AT25" s="125">
        <f>IF($F$5=0,Valores!$C$103,(Valores!$C$103+$F$5*(Valores!$C$103)))</f>
        <v>-11714</v>
      </c>
      <c r="AU25" s="125">
        <f t="shared" si="6"/>
        <v>928557.8350049999</v>
      </c>
      <c r="AV25" s="125">
        <f t="shared" si="0"/>
        <v>-120590.71628999998</v>
      </c>
      <c r="AW25" s="125">
        <f t="shared" si="7"/>
        <v>-43851.169559999995</v>
      </c>
      <c r="AX25" s="125">
        <f>AI25*Valores!$C$76</f>
        <v>-29599.539452999994</v>
      </c>
      <c r="AY25" s="125">
        <f>AI25*Valores!$C$77</f>
        <v>-3288.8377169999994</v>
      </c>
      <c r="AZ25" s="125">
        <f t="shared" si="5"/>
        <v>968948.9759799999</v>
      </c>
      <c r="BA25" s="125">
        <f>AI25*Valores!$C$79</f>
        <v>175404.67823999998</v>
      </c>
      <c r="BB25" s="125">
        <f>AI25*Valores!$C$80</f>
        <v>76739.54673</v>
      </c>
      <c r="BC25" s="125">
        <f>AI25*Valores!$C$81</f>
        <v>10962.792389999999</v>
      </c>
      <c r="BD25" s="125">
        <f>AI25*Valores!$C$83</f>
        <v>38369.773365</v>
      </c>
      <c r="BE25" s="125">
        <f>AI25*Valores!$C$85</f>
        <v>59199.07890599999</v>
      </c>
      <c r="BF25" s="125">
        <f>AI25*Valores!$C$84</f>
        <v>6577.675433999999</v>
      </c>
      <c r="BG25" s="126"/>
      <c r="BH25" s="126">
        <v>45</v>
      </c>
      <c r="BI25" s="123" t="s">
        <v>4</v>
      </c>
    </row>
    <row r="26" spans="1:61" s="110" customFormat="1" ht="11.25" customHeight="1">
      <c r="A26" s="123" t="s">
        <v>141</v>
      </c>
      <c r="B26" s="123">
        <v>1</v>
      </c>
      <c r="C26" s="126">
        <v>19</v>
      </c>
      <c r="D26" s="124" t="s">
        <v>142</v>
      </c>
      <c r="E26" s="192">
        <v>96</v>
      </c>
      <c r="F26" s="125">
        <f>ROUND(E26*Valores!$C$2,2)</f>
        <v>7946.88</v>
      </c>
      <c r="G26" s="192">
        <v>3737</v>
      </c>
      <c r="H26" s="125">
        <f>ROUND(G26*Valores!$C$2,2)</f>
        <v>309348.86</v>
      </c>
      <c r="I26" s="192">
        <v>1220</v>
      </c>
      <c r="J26" s="125">
        <f>ROUND(I26*Valores!$C$2,2)</f>
        <v>100991.6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125474.36</v>
      </c>
      <c r="N26" s="125">
        <f t="shared" si="1"/>
        <v>0</v>
      </c>
      <c r="O26" s="125">
        <f>Valores!$C$12</f>
        <v>187792.57</v>
      </c>
      <c r="P26" s="125">
        <f>Valores!$D$5</f>
        <v>42317.14</v>
      </c>
      <c r="Q26" s="125">
        <v>0</v>
      </c>
      <c r="R26" s="125">
        <f>IF($F$4="NO",Valores!$C$48,Valores!$C$48/2)</f>
        <v>44235.76</v>
      </c>
      <c r="S26" s="125">
        <f>Valores!$C$19</f>
        <v>39374.32</v>
      </c>
      <c r="T26" s="125">
        <f t="shared" si="8"/>
        <v>39374.32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Valores!$C$98</f>
        <v>115888.34</v>
      </c>
      <c r="AA26" s="125">
        <f>Valores!$C$25</f>
        <v>1730.69</v>
      </c>
      <c r="AB26" s="214">
        <v>0</v>
      </c>
      <c r="AC26" s="125">
        <f t="shared" si="2"/>
        <v>0</v>
      </c>
      <c r="AD26" s="125">
        <f>Valores!$C$26</f>
        <v>1730.69</v>
      </c>
      <c r="AE26" s="192">
        <v>0</v>
      </c>
      <c r="AF26" s="125">
        <f>ROUND(AE26*Valores!$C$2,2)</f>
        <v>0</v>
      </c>
      <c r="AG26" s="125">
        <f>ROUND(IF($F$4="NO",Valores!$C$64,Valores!$C$64/2),2)</f>
        <v>19786.28</v>
      </c>
      <c r="AH26" s="125">
        <f>SUM(F26,H26,J26,L26,M26,N26,O26,P26,Q26,R26,T26,U26,V26,X26,Y26,Z26,AA26,AC26,AD26,AF26,AG26)*Valores!$C$104</f>
        <v>99661.749</v>
      </c>
      <c r="AI26" s="125">
        <f t="shared" si="3"/>
        <v>1096279.2389999998</v>
      </c>
      <c r="AJ26" s="125">
        <f>Valores!$C$32</f>
        <v>70000</v>
      </c>
      <c r="AK26" s="125">
        <v>0</v>
      </c>
      <c r="AL26" s="125">
        <f>Valores!$C$91</f>
        <v>0</v>
      </c>
      <c r="AM26" s="125">
        <f>Valores!C$39*B26</f>
        <v>0</v>
      </c>
      <c r="AN26" s="125">
        <f>IF($F$3="NO",0,Valores!$C$56)</f>
        <v>0</v>
      </c>
      <c r="AO26" s="125">
        <f t="shared" si="4"/>
        <v>70000</v>
      </c>
      <c r="AP26" s="125">
        <f>AI26*Valores!$C$72</f>
        <v>-120590.71628999998</v>
      </c>
      <c r="AQ26" s="125">
        <f>IF(AI26&lt;Valores!$E$73,-0.02,IF(AI26&lt;Valores!$F$73,-0.03,-0.04))*AI26</f>
        <v>-43851.169559999995</v>
      </c>
      <c r="AR26" s="125">
        <f>AI26*Valores!$C$75</f>
        <v>-60295.35814499999</v>
      </c>
      <c r="AS26" s="125">
        <f>Valores!$C$102</f>
        <v>-1270.16</v>
      </c>
      <c r="AT26" s="125">
        <f>IF($F$5=0,Valores!$C$103,(Valores!$C$103+$F$5*(Valores!$C$103)))</f>
        <v>-11714</v>
      </c>
      <c r="AU26" s="125">
        <f t="shared" si="6"/>
        <v>928557.8350049999</v>
      </c>
      <c r="AV26" s="125">
        <f t="shared" si="0"/>
        <v>-120590.71628999998</v>
      </c>
      <c r="AW26" s="125">
        <f t="shared" si="7"/>
        <v>-43851.169559999995</v>
      </c>
      <c r="AX26" s="125">
        <f>AI26*Valores!$C$76</f>
        <v>-29599.539452999994</v>
      </c>
      <c r="AY26" s="125">
        <f>AI26*Valores!$C$77</f>
        <v>-3288.8377169999994</v>
      </c>
      <c r="AZ26" s="125">
        <f t="shared" si="5"/>
        <v>968948.9759799999</v>
      </c>
      <c r="BA26" s="125">
        <f>AI26*Valores!$C$79</f>
        <v>175404.67823999998</v>
      </c>
      <c r="BB26" s="125">
        <f>AI26*Valores!$C$80</f>
        <v>76739.54673</v>
      </c>
      <c r="BC26" s="125">
        <f>AI26*Valores!$C$81</f>
        <v>10962.792389999999</v>
      </c>
      <c r="BD26" s="125">
        <f>AI26*Valores!$C$83</f>
        <v>38369.773365</v>
      </c>
      <c r="BE26" s="125">
        <f>AI26*Valores!$C$85</f>
        <v>59199.07890599999</v>
      </c>
      <c r="BF26" s="125">
        <f>AI26*Valores!$C$84</f>
        <v>6577.675433999999</v>
      </c>
      <c r="BG26" s="126"/>
      <c r="BH26" s="126">
        <v>45</v>
      </c>
      <c r="BI26" s="123" t="s">
        <v>4</v>
      </c>
    </row>
    <row r="27" spans="1:61" s="110" customFormat="1" ht="11.25" customHeight="1">
      <c r="A27" s="123" t="s">
        <v>143</v>
      </c>
      <c r="B27" s="123">
        <v>1</v>
      </c>
      <c r="C27" s="126">
        <v>20</v>
      </c>
      <c r="D27" s="124" t="s">
        <v>144</v>
      </c>
      <c r="E27" s="192">
        <v>96</v>
      </c>
      <c r="F27" s="125">
        <f>ROUND(E27*Valores!$C$2,2)</f>
        <v>7946.88</v>
      </c>
      <c r="G27" s="192">
        <v>3737</v>
      </c>
      <c r="H27" s="125">
        <f>ROUND(G27*Valores!$C$2,2)</f>
        <v>309348.86</v>
      </c>
      <c r="I27" s="192">
        <v>1220</v>
      </c>
      <c r="J27" s="125">
        <f>ROUND(I27*Valores!$C$2,2)</f>
        <v>100991.6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125474.36</v>
      </c>
      <c r="N27" s="125">
        <f t="shared" si="1"/>
        <v>0</v>
      </c>
      <c r="O27" s="125">
        <f>Valores!$C$12</f>
        <v>187792.57</v>
      </c>
      <c r="P27" s="125">
        <f>Valores!$D$5</f>
        <v>42317.14</v>
      </c>
      <c r="Q27" s="125">
        <v>0</v>
      </c>
      <c r="R27" s="125">
        <f>IF($F$4="NO",Valores!$C$48,Valores!$C$48/2)</f>
        <v>44235.76</v>
      </c>
      <c r="S27" s="125">
        <f>Valores!$C$19</f>
        <v>39374.32</v>
      </c>
      <c r="T27" s="125">
        <f t="shared" si="8"/>
        <v>39374.32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Valores!$C$98</f>
        <v>115888.34</v>
      </c>
      <c r="AA27" s="125">
        <f>Valores!$C$25</f>
        <v>1730.69</v>
      </c>
      <c r="AB27" s="214">
        <v>0</v>
      </c>
      <c r="AC27" s="125">
        <f t="shared" si="2"/>
        <v>0</v>
      </c>
      <c r="AD27" s="125">
        <f>Valores!$C$26</f>
        <v>1730.69</v>
      </c>
      <c r="AE27" s="192">
        <v>0</v>
      </c>
      <c r="AF27" s="125">
        <f>ROUND(AE27*Valores!$C$2,2)</f>
        <v>0</v>
      </c>
      <c r="AG27" s="125">
        <f>ROUND(IF($F$4="NO",Valores!$C$64,Valores!$C$64/2),2)</f>
        <v>19786.28</v>
      </c>
      <c r="AH27" s="125">
        <f>SUM(F27,H27,J27,L27,M27,N27,O27,P27,Q27,R27,T27,U27,V27,X27,Y27,Z27,AA27,AC27,AD27,AF27,AG27)*Valores!$C$104</f>
        <v>99661.749</v>
      </c>
      <c r="AI27" s="125">
        <f t="shared" si="3"/>
        <v>1096279.2389999998</v>
      </c>
      <c r="AJ27" s="125">
        <f>Valores!$C$32</f>
        <v>70000</v>
      </c>
      <c r="AK27" s="125">
        <v>0</v>
      </c>
      <c r="AL27" s="125">
        <f>Valores!$C$91</f>
        <v>0</v>
      </c>
      <c r="AM27" s="125">
        <f>Valores!C$39*B27</f>
        <v>0</v>
      </c>
      <c r="AN27" s="125">
        <f>IF($F$3="NO",0,Valores!$C$56)</f>
        <v>0</v>
      </c>
      <c r="AO27" s="125">
        <f t="shared" si="4"/>
        <v>70000</v>
      </c>
      <c r="AP27" s="125">
        <f>AI27*Valores!$C$72</f>
        <v>-120590.71628999998</v>
      </c>
      <c r="AQ27" s="125">
        <f>IF(AI27&lt;Valores!$E$73,-0.02,IF(AI27&lt;Valores!$F$73,-0.03,-0.04))*AI27</f>
        <v>-43851.169559999995</v>
      </c>
      <c r="AR27" s="125">
        <f>AI27*Valores!$C$75</f>
        <v>-60295.35814499999</v>
      </c>
      <c r="AS27" s="125">
        <f>Valores!$C$102</f>
        <v>-1270.16</v>
      </c>
      <c r="AT27" s="125">
        <f>IF($F$5=0,Valores!$C$103,(Valores!$C$103+$F$5*(Valores!$C$103)))</f>
        <v>-11714</v>
      </c>
      <c r="AU27" s="125">
        <f t="shared" si="6"/>
        <v>928557.8350049999</v>
      </c>
      <c r="AV27" s="125">
        <f t="shared" si="0"/>
        <v>-120590.71628999998</v>
      </c>
      <c r="AW27" s="125">
        <f t="shared" si="7"/>
        <v>-43851.169559999995</v>
      </c>
      <c r="AX27" s="125">
        <f>AI27*Valores!$C$76</f>
        <v>-29599.539452999994</v>
      </c>
      <c r="AY27" s="125">
        <f>AI27*Valores!$C$77</f>
        <v>-3288.8377169999994</v>
      </c>
      <c r="AZ27" s="125">
        <f t="shared" si="5"/>
        <v>968948.9759799999</v>
      </c>
      <c r="BA27" s="125">
        <f>AI27*Valores!$C$79</f>
        <v>175404.67823999998</v>
      </c>
      <c r="BB27" s="125">
        <f>AI27*Valores!$C$80</f>
        <v>76739.54673</v>
      </c>
      <c r="BC27" s="125">
        <f>AI27*Valores!$C$81</f>
        <v>10962.792389999999</v>
      </c>
      <c r="BD27" s="125">
        <f>AI27*Valores!$C$83</f>
        <v>38369.773365</v>
      </c>
      <c r="BE27" s="125">
        <f>AI27*Valores!$C$85</f>
        <v>59199.07890599999</v>
      </c>
      <c r="BF27" s="125">
        <f>AI27*Valores!$C$84</f>
        <v>6577.675433999999</v>
      </c>
      <c r="BG27" s="126"/>
      <c r="BH27" s="126">
        <v>45</v>
      </c>
      <c r="BI27" s="123" t="s">
        <v>4</v>
      </c>
    </row>
    <row r="28" spans="1:61" s="110" customFormat="1" ht="11.25" customHeight="1">
      <c r="A28" s="123" t="s">
        <v>145</v>
      </c>
      <c r="B28" s="123">
        <v>1</v>
      </c>
      <c r="C28" s="126">
        <v>21</v>
      </c>
      <c r="D28" s="124" t="s">
        <v>146</v>
      </c>
      <c r="E28" s="192">
        <v>107</v>
      </c>
      <c r="F28" s="125">
        <f>ROUND(E28*Valores!$C$2,2)</f>
        <v>8857.46</v>
      </c>
      <c r="G28" s="192">
        <v>3728</v>
      </c>
      <c r="H28" s="125">
        <f>ROUND(G28*Valores!$C$2,2)</f>
        <v>308603.84</v>
      </c>
      <c r="I28" s="192">
        <v>1218</v>
      </c>
      <c r="J28" s="125">
        <f>ROUND(I28*Valores!$C$2,2)</f>
        <v>100826.04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125474.36</v>
      </c>
      <c r="N28" s="125">
        <f t="shared" si="1"/>
        <v>0</v>
      </c>
      <c r="O28" s="125">
        <f>Valores!$C$12</f>
        <v>187792.57</v>
      </c>
      <c r="P28" s="125">
        <f>Valores!$D$5</f>
        <v>42317.14</v>
      </c>
      <c r="Q28" s="125">
        <v>0</v>
      </c>
      <c r="R28" s="125">
        <f>IF($F$4="NO",Valores!$C$48,Valores!$C$48/2)</f>
        <v>44235.76</v>
      </c>
      <c r="S28" s="125">
        <f>Valores!$C$19</f>
        <v>39374.32</v>
      </c>
      <c r="T28" s="125">
        <f t="shared" si="8"/>
        <v>39374.32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Valores!$C$98</f>
        <v>115888.34</v>
      </c>
      <c r="AA28" s="125">
        <f>Valores!$C$25</f>
        <v>1730.69</v>
      </c>
      <c r="AB28" s="214">
        <v>0</v>
      </c>
      <c r="AC28" s="125">
        <f t="shared" si="2"/>
        <v>0</v>
      </c>
      <c r="AD28" s="125">
        <f>Valores!$C$26</f>
        <v>1730.69</v>
      </c>
      <c r="AE28" s="192">
        <v>0</v>
      </c>
      <c r="AF28" s="125">
        <f>ROUND(AE28*Valores!$C$2,2)</f>
        <v>0</v>
      </c>
      <c r="AG28" s="125">
        <f>ROUND(IF($F$4="NO",Valores!$C$64,Valores!$C$64/2),2)</f>
        <v>19786.28</v>
      </c>
      <c r="AH28" s="125">
        <f>SUM(F28,H28,J28,L28,M28,N28,O28,P28,Q28,R28,T28,U28,V28,X28,Y28,Z28,AA28,AC28,AD28,AF28,AG28)*Valores!$C$104</f>
        <v>99661.749</v>
      </c>
      <c r="AI28" s="125">
        <f t="shared" si="3"/>
        <v>1096279.2389999998</v>
      </c>
      <c r="AJ28" s="125">
        <f>Valores!$C$32</f>
        <v>70000</v>
      </c>
      <c r="AK28" s="125">
        <v>0</v>
      </c>
      <c r="AL28" s="125">
        <f>Valores!$C$91</f>
        <v>0</v>
      </c>
      <c r="AM28" s="125">
        <f>Valores!C$39*B28</f>
        <v>0</v>
      </c>
      <c r="AN28" s="125">
        <f>IF($F$3="NO",0,Valores!$C$56)</f>
        <v>0</v>
      </c>
      <c r="AO28" s="125">
        <f t="shared" si="4"/>
        <v>70000</v>
      </c>
      <c r="AP28" s="125">
        <f>AI28*Valores!$C$72</f>
        <v>-120590.71628999998</v>
      </c>
      <c r="AQ28" s="125">
        <f>IF(AI28&lt;Valores!$E$73,-0.02,IF(AI28&lt;Valores!$F$73,-0.03,-0.04))*AI28</f>
        <v>-43851.169559999995</v>
      </c>
      <c r="AR28" s="125">
        <f>AI28*Valores!$C$75</f>
        <v>-60295.35814499999</v>
      </c>
      <c r="AS28" s="125">
        <f>Valores!$C$102</f>
        <v>-1270.16</v>
      </c>
      <c r="AT28" s="125">
        <f>IF($F$5=0,Valores!$C$103,(Valores!$C$103+$F$5*(Valores!$C$103)))</f>
        <v>-11714</v>
      </c>
      <c r="AU28" s="125">
        <f t="shared" si="6"/>
        <v>928557.8350049999</v>
      </c>
      <c r="AV28" s="125">
        <f t="shared" si="0"/>
        <v>-120590.71628999998</v>
      </c>
      <c r="AW28" s="125">
        <f t="shared" si="7"/>
        <v>-43851.169559999995</v>
      </c>
      <c r="AX28" s="125">
        <f>AI28*Valores!$C$76</f>
        <v>-29599.539452999994</v>
      </c>
      <c r="AY28" s="125">
        <f>AI28*Valores!$C$77</f>
        <v>-3288.8377169999994</v>
      </c>
      <c r="AZ28" s="125">
        <f t="shared" si="5"/>
        <v>968948.9759799999</v>
      </c>
      <c r="BA28" s="125">
        <f>AI28*Valores!$C$79</f>
        <v>175404.67823999998</v>
      </c>
      <c r="BB28" s="125">
        <f>AI28*Valores!$C$80</f>
        <v>76739.54673</v>
      </c>
      <c r="BC28" s="125">
        <f>AI28*Valores!$C$81</f>
        <v>10962.792389999999</v>
      </c>
      <c r="BD28" s="125">
        <f>AI28*Valores!$C$83</f>
        <v>38369.773365</v>
      </c>
      <c r="BE28" s="125">
        <f>AI28*Valores!$C$85</f>
        <v>59199.07890599999</v>
      </c>
      <c r="BF28" s="125">
        <f>AI28*Valores!$C$84</f>
        <v>6577.675433999999</v>
      </c>
      <c r="BG28" s="126"/>
      <c r="BH28" s="126">
        <v>45</v>
      </c>
      <c r="BI28" s="123" t="s">
        <v>8</v>
      </c>
    </row>
    <row r="29" spans="1:61" s="110" customFormat="1" ht="11.25" customHeight="1">
      <c r="A29" s="123" t="s">
        <v>147</v>
      </c>
      <c r="B29" s="123">
        <v>1</v>
      </c>
      <c r="C29" s="126">
        <v>22</v>
      </c>
      <c r="D29" s="124" t="s">
        <v>148</v>
      </c>
      <c r="E29" s="192">
        <v>94</v>
      </c>
      <c r="F29" s="125">
        <f>ROUND(E29*Valores!$C$2,2)</f>
        <v>7781.32</v>
      </c>
      <c r="G29" s="192">
        <v>3624</v>
      </c>
      <c r="H29" s="125">
        <f>ROUND(G29*Valores!$C$2,2)</f>
        <v>299994.72</v>
      </c>
      <c r="I29" s="192">
        <v>1219</v>
      </c>
      <c r="J29" s="125">
        <f>ROUND(I29*Valores!$C$2,2)</f>
        <v>100908.82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123073.74</v>
      </c>
      <c r="N29" s="125">
        <f t="shared" si="1"/>
        <v>0</v>
      </c>
      <c r="O29" s="125">
        <f>Valores!$C$12</f>
        <v>187792.57</v>
      </c>
      <c r="P29" s="125">
        <f>Valores!$D$5</f>
        <v>42317.14</v>
      </c>
      <c r="Q29" s="125">
        <v>0</v>
      </c>
      <c r="R29" s="125">
        <f>IF($F$4="NO",Valores!$C$48,Valores!$C$48/2)</f>
        <v>44235.76</v>
      </c>
      <c r="S29" s="125">
        <f>Valores!$C$19</f>
        <v>39374.32</v>
      </c>
      <c r="T29" s="125">
        <f t="shared" si="8"/>
        <v>39374.32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Valores!$C$98</f>
        <v>115888.34</v>
      </c>
      <c r="AA29" s="125">
        <f>Valores!$C$25</f>
        <v>1730.69</v>
      </c>
      <c r="AB29" s="214">
        <v>0</v>
      </c>
      <c r="AC29" s="125">
        <f t="shared" si="2"/>
        <v>0</v>
      </c>
      <c r="AD29" s="125">
        <f>Valores!$C$26</f>
        <v>1730.69</v>
      </c>
      <c r="AE29" s="192">
        <v>0</v>
      </c>
      <c r="AF29" s="125">
        <f>ROUND(AE29*Valores!$C$2,2)</f>
        <v>0</v>
      </c>
      <c r="AG29" s="125">
        <f>ROUND(IF($F$4="NO",Valores!$C$64,Valores!$C$64/2),2)</f>
        <v>19786.28</v>
      </c>
      <c r="AH29" s="125">
        <f>SUM(F29,H29,J29,L29,M29,N29,O29,P29,Q29,R29,T29,U29,V29,X29,Y29,Z29,AA29,AC29,AD29,AF29,AG29)*Valores!$C$104</f>
        <v>98461.43899999998</v>
      </c>
      <c r="AI29" s="125">
        <f t="shared" si="3"/>
        <v>1083075.8289999997</v>
      </c>
      <c r="AJ29" s="125">
        <f>Valores!$C$32</f>
        <v>70000</v>
      </c>
      <c r="AK29" s="125">
        <v>0</v>
      </c>
      <c r="AL29" s="125">
        <f>Valores!$C$91</f>
        <v>0</v>
      </c>
      <c r="AM29" s="125">
        <f>Valores!C$39*B29</f>
        <v>0</v>
      </c>
      <c r="AN29" s="125">
        <f>IF($F$3="NO",0,Valores!$C$56)</f>
        <v>0</v>
      </c>
      <c r="AO29" s="125">
        <f t="shared" si="4"/>
        <v>70000</v>
      </c>
      <c r="AP29" s="125">
        <f>AI29*Valores!$C$72</f>
        <v>-119138.34118999996</v>
      </c>
      <c r="AQ29" s="125">
        <f>IF(AI29&lt;Valores!$E$73,-0.02,IF(AI29&lt;Valores!$F$73,-0.03,-0.04))*AI29</f>
        <v>-43323.033159999984</v>
      </c>
      <c r="AR29" s="125">
        <f>AI29*Valores!$C$75</f>
        <v>-59569.17059499998</v>
      </c>
      <c r="AS29" s="125">
        <f>Valores!$C$102</f>
        <v>-1270.16</v>
      </c>
      <c r="AT29" s="125">
        <f>IF($F$5=0,Valores!$C$103,(Valores!$C$103+$F$5*(Valores!$C$103)))</f>
        <v>-11714</v>
      </c>
      <c r="AU29" s="125">
        <f t="shared" si="6"/>
        <v>918061.1240549998</v>
      </c>
      <c r="AV29" s="125">
        <f t="shared" si="0"/>
        <v>-119138.34118999996</v>
      </c>
      <c r="AW29" s="125">
        <f t="shared" si="7"/>
        <v>-43323.033159999984</v>
      </c>
      <c r="AX29" s="125">
        <f>AI29*Valores!$C$76</f>
        <v>-29243.04738299999</v>
      </c>
      <c r="AY29" s="125">
        <f>AI29*Valores!$C$77</f>
        <v>-3249.227486999999</v>
      </c>
      <c r="AZ29" s="125">
        <f t="shared" si="5"/>
        <v>958122.1797799998</v>
      </c>
      <c r="BA29" s="125">
        <f>AI29*Valores!$C$79</f>
        <v>173292.13263999994</v>
      </c>
      <c r="BB29" s="125">
        <f>AI29*Valores!$C$80</f>
        <v>75815.30802999999</v>
      </c>
      <c r="BC29" s="125">
        <f>AI29*Valores!$C$81</f>
        <v>10830.758289999996</v>
      </c>
      <c r="BD29" s="125">
        <f>AI29*Valores!$C$83</f>
        <v>37907.65401499999</v>
      </c>
      <c r="BE29" s="125">
        <f>AI29*Valores!$C$85</f>
        <v>58486.09476599998</v>
      </c>
      <c r="BF29" s="125">
        <f>AI29*Valores!$C$84</f>
        <v>6498.454973999998</v>
      </c>
      <c r="BG29" s="126"/>
      <c r="BH29" s="126">
        <v>45</v>
      </c>
      <c r="BI29" s="123" t="s">
        <v>4</v>
      </c>
    </row>
    <row r="30" spans="1:61" s="110" customFormat="1" ht="11.25" customHeight="1">
      <c r="A30" s="123" t="s">
        <v>149</v>
      </c>
      <c r="B30" s="123">
        <v>1</v>
      </c>
      <c r="C30" s="126">
        <v>23</v>
      </c>
      <c r="D30" s="124" t="s">
        <v>150</v>
      </c>
      <c r="E30" s="192">
        <v>93</v>
      </c>
      <c r="F30" s="125">
        <f>ROUND(E30*Valores!$C$2,2)</f>
        <v>7698.54</v>
      </c>
      <c r="G30" s="192">
        <v>3627</v>
      </c>
      <c r="H30" s="125">
        <f>ROUND(G30*Valores!$C$2,2)</f>
        <v>300243.06</v>
      </c>
      <c r="I30" s="192">
        <v>210</v>
      </c>
      <c r="J30" s="125">
        <f>ROUND(I30*Valores!$C$2,2)</f>
        <v>17383.8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102233.87</v>
      </c>
      <c r="N30" s="125">
        <f t="shared" si="1"/>
        <v>0</v>
      </c>
      <c r="O30" s="125">
        <f>Valores!$C$12</f>
        <v>187792.57</v>
      </c>
      <c r="P30" s="125">
        <f>Valores!$D$5</f>
        <v>42317.14</v>
      </c>
      <c r="Q30" s="125">
        <v>0</v>
      </c>
      <c r="R30" s="125">
        <f>IF($F$4="NO",Valores!$C$48,Valores!$C$48/2)</f>
        <v>44235.76</v>
      </c>
      <c r="S30" s="125">
        <f>Valores!$C$19</f>
        <v>39374.32</v>
      </c>
      <c r="T30" s="125">
        <f t="shared" si="8"/>
        <v>39374.32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Valores!$C$98</f>
        <v>115888.34</v>
      </c>
      <c r="AA30" s="125">
        <f>Valores!$C$25</f>
        <v>1730.69</v>
      </c>
      <c r="AB30" s="214">
        <v>0</v>
      </c>
      <c r="AC30" s="125">
        <f t="shared" si="2"/>
        <v>0</v>
      </c>
      <c r="AD30" s="125">
        <f>Valores!$C$26</f>
        <v>1730.69</v>
      </c>
      <c r="AE30" s="192">
        <v>0</v>
      </c>
      <c r="AF30" s="125">
        <f>ROUND(AE30*Valores!$C$2,2)</f>
        <v>0</v>
      </c>
      <c r="AG30" s="125">
        <f>ROUND(IF($F$4="NO",Valores!$C$64,Valores!$C$64/2),2)</f>
        <v>19786.28</v>
      </c>
      <c r="AH30" s="125">
        <f>SUM(F30,H30,J30,L30,M30,N30,O30,P30,Q30,R30,T30,U30,V30,X30,Y30,Z30,AA30,AC30,AD30,AF30,AG30)*Valores!$C$104</f>
        <v>88041.506</v>
      </c>
      <c r="AI30" s="125">
        <f t="shared" si="3"/>
        <v>968456.5659999999</v>
      </c>
      <c r="AJ30" s="125">
        <f>Valores!$C$32</f>
        <v>70000</v>
      </c>
      <c r="AK30" s="125">
        <v>0</v>
      </c>
      <c r="AL30" s="125">
        <f>Valores!$C$91</f>
        <v>0</v>
      </c>
      <c r="AM30" s="125">
        <f>Valores!C$39*B30</f>
        <v>0</v>
      </c>
      <c r="AN30" s="125">
        <f>IF($F$3="NO",0,Valores!$C$56)</f>
        <v>0</v>
      </c>
      <c r="AO30" s="125">
        <f t="shared" si="4"/>
        <v>70000</v>
      </c>
      <c r="AP30" s="125">
        <f>AI30*Valores!$C$72</f>
        <v>-106530.22225999998</v>
      </c>
      <c r="AQ30" s="125">
        <f>IF(AI30&lt;Valores!$E$73,-0.02,IF(AI30&lt;Valores!$F$73,-0.03,-0.04))*AI30</f>
        <v>-29053.696979999997</v>
      </c>
      <c r="AR30" s="125">
        <f>AI30*Valores!$C$75</f>
        <v>-53265.11112999999</v>
      </c>
      <c r="AS30" s="125">
        <f>Valores!$C$102</f>
        <v>-1270.16</v>
      </c>
      <c r="AT30" s="125">
        <f>IF($F$5=0,Valores!$C$103,(Valores!$C$103+$F$5*(Valores!$C$103)))</f>
        <v>-11714</v>
      </c>
      <c r="AU30" s="125">
        <f t="shared" si="6"/>
        <v>836623.3756299999</v>
      </c>
      <c r="AV30" s="125">
        <f t="shared" si="0"/>
        <v>-106530.22225999998</v>
      </c>
      <c r="AW30" s="125">
        <f t="shared" si="7"/>
        <v>-29053.696979999997</v>
      </c>
      <c r="AX30" s="125">
        <f>AI30*Valores!$C$76</f>
        <v>-26148.327281999995</v>
      </c>
      <c r="AY30" s="125">
        <f>AI30*Valores!$C$77</f>
        <v>-2905.3696979999995</v>
      </c>
      <c r="AZ30" s="125">
        <f t="shared" si="5"/>
        <v>873818.9497799999</v>
      </c>
      <c r="BA30" s="125">
        <f>AI30*Valores!$C$79</f>
        <v>154953.05055999997</v>
      </c>
      <c r="BB30" s="125">
        <f>AI30*Valores!$C$80</f>
        <v>67791.95962</v>
      </c>
      <c r="BC30" s="125">
        <f>AI30*Valores!$C$81</f>
        <v>9684.565659999998</v>
      </c>
      <c r="BD30" s="125">
        <f>AI30*Valores!$C$83</f>
        <v>33895.97981</v>
      </c>
      <c r="BE30" s="125">
        <f>AI30*Valores!$C$85</f>
        <v>52296.65456399999</v>
      </c>
      <c r="BF30" s="125">
        <f>AI30*Valores!$C$84</f>
        <v>5810.739395999999</v>
      </c>
      <c r="BG30" s="126"/>
      <c r="BH30" s="126">
        <v>45</v>
      </c>
      <c r="BI30" s="123" t="s">
        <v>8</v>
      </c>
    </row>
    <row r="31" spans="1:61" s="110" customFormat="1" ht="11.25" customHeight="1">
      <c r="A31" s="123" t="s">
        <v>151</v>
      </c>
      <c r="B31" s="123">
        <v>1</v>
      </c>
      <c r="C31" s="126">
        <v>24</v>
      </c>
      <c r="D31" s="124" t="s">
        <v>152</v>
      </c>
      <c r="E31" s="192">
        <v>93</v>
      </c>
      <c r="F31" s="125">
        <f>ROUND(E31*Valores!$C$2,2)</f>
        <v>7698.54</v>
      </c>
      <c r="G31" s="192">
        <v>3630</v>
      </c>
      <c r="H31" s="125">
        <f>ROUND(G31*Valores!$C$2,2)</f>
        <v>300491.4</v>
      </c>
      <c r="I31" s="192">
        <v>1214</v>
      </c>
      <c r="J31" s="125">
        <f>ROUND(I31*Valores!$C$2,2)</f>
        <v>100494.92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123073.74</v>
      </c>
      <c r="N31" s="125">
        <f t="shared" si="1"/>
        <v>0</v>
      </c>
      <c r="O31" s="125">
        <f>Valores!$C$12</f>
        <v>187792.57</v>
      </c>
      <c r="P31" s="125">
        <f>Valores!$D$5</f>
        <v>42317.14</v>
      </c>
      <c r="Q31" s="125">
        <v>0</v>
      </c>
      <c r="R31" s="125">
        <f>IF($F$4="NO",Valores!$C$48,Valores!$C$48/2)</f>
        <v>44235.76</v>
      </c>
      <c r="S31" s="125">
        <f>Valores!$C$19</f>
        <v>39374.32</v>
      </c>
      <c r="T31" s="125">
        <f t="shared" si="8"/>
        <v>39374.32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Valores!$C$98</f>
        <v>115888.34</v>
      </c>
      <c r="AA31" s="125">
        <f>Valores!$C$25</f>
        <v>1730.69</v>
      </c>
      <c r="AB31" s="214">
        <v>0</v>
      </c>
      <c r="AC31" s="125">
        <f t="shared" si="2"/>
        <v>0</v>
      </c>
      <c r="AD31" s="125">
        <f>Valores!$C$26</f>
        <v>1730.69</v>
      </c>
      <c r="AE31" s="192">
        <v>0</v>
      </c>
      <c r="AF31" s="125">
        <f>ROUND(AE31*Valores!$C$2,2)</f>
        <v>0</v>
      </c>
      <c r="AG31" s="125">
        <f>ROUND(IF($F$4="NO",Valores!$C$64,Valores!$C$64/2),2)</f>
        <v>19786.28</v>
      </c>
      <c r="AH31" s="125">
        <f>SUM(F31,H31,J31,L31,M31,N31,O31,P31,Q31,R31,T31,U31,V31,X31,Y31,Z31,AA31,AC31,AD31,AF31,AG31)*Valores!$C$104</f>
        <v>98461.43899999998</v>
      </c>
      <c r="AI31" s="125">
        <f t="shared" si="3"/>
        <v>1083075.8289999997</v>
      </c>
      <c r="AJ31" s="125">
        <f>Valores!$C$32</f>
        <v>70000</v>
      </c>
      <c r="AK31" s="125">
        <v>0</v>
      </c>
      <c r="AL31" s="125">
        <f>Valores!$C$91</f>
        <v>0</v>
      </c>
      <c r="AM31" s="125">
        <f>Valores!C$39*B31</f>
        <v>0</v>
      </c>
      <c r="AN31" s="125">
        <f>IF($F$3="NO",0,Valores!$C$56)</f>
        <v>0</v>
      </c>
      <c r="AO31" s="125">
        <f t="shared" si="4"/>
        <v>70000</v>
      </c>
      <c r="AP31" s="125">
        <f>AI31*Valores!$C$72</f>
        <v>-119138.34118999996</v>
      </c>
      <c r="AQ31" s="125">
        <f>IF(AI31&lt;Valores!$E$73,-0.02,IF(AI31&lt;Valores!$F$73,-0.03,-0.04))*AI31</f>
        <v>-43323.033159999984</v>
      </c>
      <c r="AR31" s="125">
        <f>AI31*Valores!$C$75</f>
        <v>-59569.17059499998</v>
      </c>
      <c r="AS31" s="125">
        <f>Valores!$C$102</f>
        <v>-1270.16</v>
      </c>
      <c r="AT31" s="125">
        <f>IF($F$5=0,Valores!$C$103,(Valores!$C$103+$F$5*(Valores!$C$103)))</f>
        <v>-11714</v>
      </c>
      <c r="AU31" s="125">
        <f t="shared" si="6"/>
        <v>918061.1240549998</v>
      </c>
      <c r="AV31" s="125">
        <f t="shared" si="0"/>
        <v>-119138.34118999996</v>
      </c>
      <c r="AW31" s="125">
        <f t="shared" si="7"/>
        <v>-43323.033159999984</v>
      </c>
      <c r="AX31" s="125">
        <f>AI31*Valores!$C$76</f>
        <v>-29243.04738299999</v>
      </c>
      <c r="AY31" s="125">
        <f>AI31*Valores!$C$77</f>
        <v>-3249.227486999999</v>
      </c>
      <c r="AZ31" s="125">
        <f t="shared" si="5"/>
        <v>958122.1797799998</v>
      </c>
      <c r="BA31" s="125">
        <f>AI31*Valores!$C$79</f>
        <v>173292.13263999994</v>
      </c>
      <c r="BB31" s="125">
        <f>AI31*Valores!$C$80</f>
        <v>75815.30802999999</v>
      </c>
      <c r="BC31" s="125">
        <f>AI31*Valores!$C$81</f>
        <v>10830.758289999996</v>
      </c>
      <c r="BD31" s="125">
        <f>AI31*Valores!$C$83</f>
        <v>37907.65401499999</v>
      </c>
      <c r="BE31" s="125">
        <f>AI31*Valores!$C$85</f>
        <v>58486.09476599998</v>
      </c>
      <c r="BF31" s="125">
        <f>AI31*Valores!$C$84</f>
        <v>6498.454973999998</v>
      </c>
      <c r="BG31" s="126"/>
      <c r="BH31" s="126">
        <v>45</v>
      </c>
      <c r="BI31" s="123" t="s">
        <v>4</v>
      </c>
    </row>
    <row r="32" spans="1:61" s="110" customFormat="1" ht="11.25" customHeight="1">
      <c r="A32" s="123" t="s">
        <v>153</v>
      </c>
      <c r="B32" s="123">
        <v>1</v>
      </c>
      <c r="C32" s="126">
        <v>25</v>
      </c>
      <c r="D32" s="124" t="s">
        <v>154</v>
      </c>
      <c r="E32" s="192">
        <v>96</v>
      </c>
      <c r="F32" s="125">
        <f>ROUND(E32*Valores!$C$2,2)</f>
        <v>7946.88</v>
      </c>
      <c r="G32" s="192">
        <v>3737</v>
      </c>
      <c r="H32" s="125">
        <f>ROUND(G32*Valores!$C$2,2)</f>
        <v>309348.86</v>
      </c>
      <c r="I32" s="192">
        <v>1220</v>
      </c>
      <c r="J32" s="125">
        <f>ROUND(I32*Valores!$C$2,2)</f>
        <v>100991.6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125474.36</v>
      </c>
      <c r="N32" s="125">
        <f t="shared" si="1"/>
        <v>0</v>
      </c>
      <c r="O32" s="125">
        <f>Valores!$C$12</f>
        <v>187792.57</v>
      </c>
      <c r="P32" s="125">
        <f>Valores!$D$5</f>
        <v>42317.14</v>
      </c>
      <c r="Q32" s="125">
        <v>0</v>
      </c>
      <c r="R32" s="125">
        <f>IF($F$4="NO",Valores!$C$48,Valores!$C$48/2)</f>
        <v>44235.76</v>
      </c>
      <c r="S32" s="125">
        <f>Valores!$C$19</f>
        <v>39374.32</v>
      </c>
      <c r="T32" s="125">
        <f t="shared" si="8"/>
        <v>39374.32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69378.47</v>
      </c>
      <c r="Z32" s="125">
        <f>Valores!$C$98</f>
        <v>115888.34</v>
      </c>
      <c r="AA32" s="125">
        <f>Valores!$C$25</f>
        <v>1730.69</v>
      </c>
      <c r="AB32" s="214">
        <v>0</v>
      </c>
      <c r="AC32" s="125">
        <f t="shared" si="2"/>
        <v>0</v>
      </c>
      <c r="AD32" s="125">
        <f>Valores!$C$26</f>
        <v>1730.69</v>
      </c>
      <c r="AE32" s="192">
        <v>0</v>
      </c>
      <c r="AF32" s="125">
        <f>ROUND(AE32*Valores!$C$2,2)</f>
        <v>0</v>
      </c>
      <c r="AG32" s="125">
        <f>ROUND(IF($F$4="NO",Valores!$C$64,Valores!$C$64/2),2)</f>
        <v>19786.28</v>
      </c>
      <c r="AH32" s="125">
        <f>SUM(F32,H32,J32,L32,M32,N32,O32,P32,Q32,R32,T32,U32,V32,X32,Y32,Z32,AA32,AC32,AD32,AF32,AG32)*Valores!$C$104</f>
        <v>106599.59599999998</v>
      </c>
      <c r="AI32" s="125">
        <f t="shared" si="3"/>
        <v>1172595.5559999996</v>
      </c>
      <c r="AJ32" s="125">
        <f>Valores!$C$32</f>
        <v>70000</v>
      </c>
      <c r="AK32" s="125">
        <v>0</v>
      </c>
      <c r="AL32" s="125">
        <f>Valores!$C$91</f>
        <v>0</v>
      </c>
      <c r="AM32" s="125">
        <f>Valores!C$39*B32</f>
        <v>0</v>
      </c>
      <c r="AN32" s="125">
        <f>IF($F$3="NO",0,Valores!$C$56)</f>
        <v>0</v>
      </c>
      <c r="AO32" s="125">
        <f t="shared" si="4"/>
        <v>70000</v>
      </c>
      <c r="AP32" s="125">
        <f>AI32*Valores!$C$72</f>
        <v>-128985.51115999997</v>
      </c>
      <c r="AQ32" s="125">
        <f>IF(AI32&lt;Valores!$E$73,-0.02,IF(AI32&lt;Valores!$F$73,-0.03,-0.04))*AI32</f>
        <v>-46903.82223999999</v>
      </c>
      <c r="AR32" s="125">
        <f>AI32*Valores!$C$75</f>
        <v>-64492.75557999998</v>
      </c>
      <c r="AS32" s="125">
        <f>Valores!$C$102</f>
        <v>-1270.16</v>
      </c>
      <c r="AT32" s="125">
        <f>IF($F$5=0,Valores!$C$103,(Valores!$C$103+$F$5*(Valores!$C$103)))</f>
        <v>-11714</v>
      </c>
      <c r="AU32" s="125">
        <f t="shared" si="6"/>
        <v>989229.3070199997</v>
      </c>
      <c r="AV32" s="125">
        <f t="shared" si="0"/>
        <v>-128985.51115999997</v>
      </c>
      <c r="AW32" s="125">
        <f t="shared" si="7"/>
        <v>-46903.82223999999</v>
      </c>
      <c r="AX32" s="125">
        <f>AI32*Valores!$C$76</f>
        <v>-31660.08001199999</v>
      </c>
      <c r="AY32" s="125">
        <f>AI32*Valores!$C$77</f>
        <v>-3517.786667999999</v>
      </c>
      <c r="AZ32" s="125">
        <f t="shared" si="5"/>
        <v>1031528.3559199998</v>
      </c>
      <c r="BA32" s="125">
        <f>AI32*Valores!$C$79</f>
        <v>187615.28895999995</v>
      </c>
      <c r="BB32" s="125">
        <f>AI32*Valores!$C$80</f>
        <v>82081.68891999999</v>
      </c>
      <c r="BC32" s="125">
        <f>AI32*Valores!$C$81</f>
        <v>11725.955559999997</v>
      </c>
      <c r="BD32" s="125">
        <f>AI32*Valores!$C$83</f>
        <v>41040.84445999999</v>
      </c>
      <c r="BE32" s="125">
        <f>AI32*Valores!$C$85</f>
        <v>63320.16002399998</v>
      </c>
      <c r="BF32" s="125">
        <f>AI32*Valores!$C$84</f>
        <v>7035.573335999998</v>
      </c>
      <c r="BG32" s="126"/>
      <c r="BH32" s="126">
        <v>45</v>
      </c>
      <c r="BI32" s="123" t="s">
        <v>8</v>
      </c>
    </row>
    <row r="33" spans="1:61" s="110" customFormat="1" ht="11.25" customHeight="1">
      <c r="A33" s="123" t="s">
        <v>155</v>
      </c>
      <c r="B33" s="123">
        <v>1</v>
      </c>
      <c r="C33" s="126">
        <v>26</v>
      </c>
      <c r="D33" s="124" t="s">
        <v>156</v>
      </c>
      <c r="E33" s="192">
        <v>92</v>
      </c>
      <c r="F33" s="125">
        <f>ROUND(E33*Valores!$C$2,2)</f>
        <v>7615.76</v>
      </c>
      <c r="G33" s="192">
        <v>3483</v>
      </c>
      <c r="H33" s="125">
        <f>ROUND(G33*Valores!$C$2,2)</f>
        <v>288322.74</v>
      </c>
      <c r="I33" s="192">
        <v>1217</v>
      </c>
      <c r="J33" s="125">
        <f>ROUND(I33*Valores!$C$2,2)</f>
        <v>100743.26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120072.96</v>
      </c>
      <c r="N33" s="125">
        <f t="shared" si="1"/>
        <v>0</v>
      </c>
      <c r="O33" s="125">
        <f>Valores!$C$12</f>
        <v>187792.57</v>
      </c>
      <c r="P33" s="125">
        <f>Valores!$D$5</f>
        <v>42317.14</v>
      </c>
      <c r="Q33" s="125">
        <v>0</v>
      </c>
      <c r="R33" s="125">
        <f>IF($F$4="NO",Valores!$C$48,Valores!$C$48/2)</f>
        <v>44235.76</v>
      </c>
      <c r="S33" s="125">
        <f>Valores!$C$19</f>
        <v>39374.32</v>
      </c>
      <c r="T33" s="125">
        <f t="shared" si="8"/>
        <v>39374.32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Valores!$C$98</f>
        <v>115888.34</v>
      </c>
      <c r="AA33" s="125">
        <f>Valores!$C$25</f>
        <v>1730.69</v>
      </c>
      <c r="AB33" s="214">
        <v>0</v>
      </c>
      <c r="AC33" s="125">
        <f t="shared" si="2"/>
        <v>0</v>
      </c>
      <c r="AD33" s="125">
        <f>Valores!$C$26</f>
        <v>1730.69</v>
      </c>
      <c r="AE33" s="192">
        <v>0</v>
      </c>
      <c r="AF33" s="125">
        <f>ROUND(AE33*Valores!$C$2,2)</f>
        <v>0</v>
      </c>
      <c r="AG33" s="125">
        <f>ROUND(IF($F$4="NO",Valores!$C$64,Valores!$C$64/2),2)</f>
        <v>19786.28</v>
      </c>
      <c r="AH33" s="125">
        <f>SUM(F33,H33,J33,L33,M33,N33,O33,P33,Q33,R33,T33,U33,V33,X33,Y33,Z33,AA33,AC33,AD33,AF33,AG33)*Valores!$C$104</f>
        <v>96961.05099999999</v>
      </c>
      <c r="AI33" s="125">
        <f t="shared" si="3"/>
        <v>1066571.561</v>
      </c>
      <c r="AJ33" s="125">
        <f>Valores!$C$32</f>
        <v>70000</v>
      </c>
      <c r="AK33" s="125">
        <v>0</v>
      </c>
      <c r="AL33" s="125">
        <f>Valores!$C$91</f>
        <v>0</v>
      </c>
      <c r="AM33" s="125">
        <f>Valores!C$39*B33</f>
        <v>0</v>
      </c>
      <c r="AN33" s="125">
        <f>IF($F$3="NO",0,Valores!$C$56)</f>
        <v>0</v>
      </c>
      <c r="AO33" s="125">
        <f t="shared" si="4"/>
        <v>70000</v>
      </c>
      <c r="AP33" s="125">
        <f>AI33*Valores!$C$72</f>
        <v>-117322.87170999999</v>
      </c>
      <c r="AQ33" s="125">
        <f>IF(AI33&lt;Valores!$E$73,-0.02,IF(AI33&lt;Valores!$F$73,-0.03,-0.04))*AI33</f>
        <v>-42662.86244</v>
      </c>
      <c r="AR33" s="125">
        <f>AI33*Valores!$C$75</f>
        <v>-58661.435854999996</v>
      </c>
      <c r="AS33" s="125">
        <f>Valores!$C$102</f>
        <v>-1270.16</v>
      </c>
      <c r="AT33" s="125">
        <f>IF($F$5=0,Valores!$C$103,(Valores!$C$103+$F$5*(Valores!$C$103)))</f>
        <v>-11714</v>
      </c>
      <c r="AU33" s="125">
        <f t="shared" si="6"/>
        <v>904940.230995</v>
      </c>
      <c r="AV33" s="125">
        <f t="shared" si="0"/>
        <v>-117322.87170999999</v>
      </c>
      <c r="AW33" s="125">
        <f t="shared" si="7"/>
        <v>-42662.86244</v>
      </c>
      <c r="AX33" s="125">
        <f>AI33*Valores!$C$76</f>
        <v>-28797.432147</v>
      </c>
      <c r="AY33" s="125">
        <f>AI33*Valores!$C$77</f>
        <v>-3199.714683</v>
      </c>
      <c r="AZ33" s="125">
        <f t="shared" si="5"/>
        <v>944588.6800200001</v>
      </c>
      <c r="BA33" s="125">
        <f>AI33*Valores!$C$79</f>
        <v>170651.44976</v>
      </c>
      <c r="BB33" s="125">
        <f>AI33*Valores!$C$80</f>
        <v>74660.00927000001</v>
      </c>
      <c r="BC33" s="125">
        <f>AI33*Valores!$C$81</f>
        <v>10665.71561</v>
      </c>
      <c r="BD33" s="125">
        <f>AI33*Valores!$C$83</f>
        <v>37330.004635000005</v>
      </c>
      <c r="BE33" s="125">
        <f>AI33*Valores!$C$85</f>
        <v>57594.864294</v>
      </c>
      <c r="BF33" s="125">
        <f>AI33*Valores!$C$84</f>
        <v>6399.429366</v>
      </c>
      <c r="BG33" s="126"/>
      <c r="BH33" s="126">
        <v>45</v>
      </c>
      <c r="BI33" s="123" t="s">
        <v>4</v>
      </c>
    </row>
    <row r="34" spans="1:61" s="110" customFormat="1" ht="11.25" customHeight="1">
      <c r="A34" s="123" t="s">
        <v>157</v>
      </c>
      <c r="B34" s="123">
        <v>1</v>
      </c>
      <c r="C34" s="126">
        <v>27</v>
      </c>
      <c r="D34" s="124" t="s">
        <v>158</v>
      </c>
      <c r="E34" s="192">
        <v>85</v>
      </c>
      <c r="F34" s="125">
        <f>ROUND(E34*Valores!$C$2,2)</f>
        <v>7036.3</v>
      </c>
      <c r="G34" s="192">
        <v>3498</v>
      </c>
      <c r="H34" s="125">
        <f>ROUND(G34*Valores!$C$2,2)</f>
        <v>289564.44</v>
      </c>
      <c r="I34" s="192">
        <v>1209</v>
      </c>
      <c r="J34" s="125">
        <f>ROUND(I34*Valores!$C$2,2)</f>
        <v>100081.02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120072.96</v>
      </c>
      <c r="N34" s="125">
        <f t="shared" si="1"/>
        <v>0</v>
      </c>
      <c r="O34" s="125">
        <f>Valores!$C$12</f>
        <v>187792.57</v>
      </c>
      <c r="P34" s="125">
        <f>Valores!$D$5</f>
        <v>42317.14</v>
      </c>
      <c r="Q34" s="125">
        <v>0</v>
      </c>
      <c r="R34" s="125">
        <f>IF($F$4="NO",Valores!$C$48,Valores!$C$48/2)</f>
        <v>44235.76</v>
      </c>
      <c r="S34" s="125">
        <f>Valores!$C$19</f>
        <v>39374.32</v>
      </c>
      <c r="T34" s="125">
        <f t="shared" si="8"/>
        <v>39374.32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Valores!$C$98</f>
        <v>115888.34</v>
      </c>
      <c r="AA34" s="125">
        <f>Valores!$C$25</f>
        <v>1730.69</v>
      </c>
      <c r="AB34" s="214">
        <v>0</v>
      </c>
      <c r="AC34" s="125">
        <f t="shared" si="2"/>
        <v>0</v>
      </c>
      <c r="AD34" s="125">
        <f>Valores!$C$26</f>
        <v>1730.69</v>
      </c>
      <c r="AE34" s="192">
        <v>0</v>
      </c>
      <c r="AF34" s="125">
        <f>ROUND(AE34*Valores!$C$2,2)</f>
        <v>0</v>
      </c>
      <c r="AG34" s="125">
        <f>ROUND(IF($F$4="NO",Valores!$C$64,Valores!$C$64/2),2)</f>
        <v>19786.28</v>
      </c>
      <c r="AH34" s="125">
        <f>SUM(F34,H34,J34,L34,M34,N34,O34,P34,Q34,R34,T34,U34,V34,X34,Y34,Z34,AA34,AC34,AD34,AF34,AG34)*Valores!$C$104</f>
        <v>96961.05099999999</v>
      </c>
      <c r="AI34" s="125">
        <f t="shared" si="3"/>
        <v>1066571.561</v>
      </c>
      <c r="AJ34" s="125">
        <f>Valores!$C$32</f>
        <v>70000</v>
      </c>
      <c r="AK34" s="125">
        <v>0</v>
      </c>
      <c r="AL34" s="125">
        <f>Valores!$C$91</f>
        <v>0</v>
      </c>
      <c r="AM34" s="125">
        <f>Valores!C$39*B34</f>
        <v>0</v>
      </c>
      <c r="AN34" s="125">
        <f>IF($F$3="NO",0,Valores!$C$56)</f>
        <v>0</v>
      </c>
      <c r="AO34" s="125">
        <f t="shared" si="4"/>
        <v>70000</v>
      </c>
      <c r="AP34" s="125">
        <f>AI34*Valores!$C$72</f>
        <v>-117322.87170999999</v>
      </c>
      <c r="AQ34" s="125">
        <f>IF(AI34&lt;Valores!$E$73,-0.02,IF(AI34&lt;Valores!$F$73,-0.03,-0.04))*AI34</f>
        <v>-42662.86244</v>
      </c>
      <c r="AR34" s="125">
        <f>AI34*Valores!$C$75</f>
        <v>-58661.435854999996</v>
      </c>
      <c r="AS34" s="125">
        <f>Valores!$C$102</f>
        <v>-1270.16</v>
      </c>
      <c r="AT34" s="125">
        <f>IF($F$5=0,Valores!$C$103,(Valores!$C$103+$F$5*(Valores!$C$103)))</f>
        <v>-11714</v>
      </c>
      <c r="AU34" s="125">
        <f t="shared" si="6"/>
        <v>904940.230995</v>
      </c>
      <c r="AV34" s="125">
        <f t="shared" si="0"/>
        <v>-117322.87170999999</v>
      </c>
      <c r="AW34" s="125">
        <f t="shared" si="7"/>
        <v>-42662.86244</v>
      </c>
      <c r="AX34" s="125">
        <f>AI34*Valores!$C$76</f>
        <v>-28797.432147</v>
      </c>
      <c r="AY34" s="125">
        <f>AI34*Valores!$C$77</f>
        <v>-3199.714683</v>
      </c>
      <c r="AZ34" s="125">
        <f t="shared" si="5"/>
        <v>944588.6800200001</v>
      </c>
      <c r="BA34" s="125">
        <f>AI34*Valores!$C$79</f>
        <v>170651.44976</v>
      </c>
      <c r="BB34" s="125">
        <f>AI34*Valores!$C$80</f>
        <v>74660.00927000001</v>
      </c>
      <c r="BC34" s="125">
        <f>AI34*Valores!$C$81</f>
        <v>10665.71561</v>
      </c>
      <c r="BD34" s="125">
        <f>AI34*Valores!$C$83</f>
        <v>37330.004635000005</v>
      </c>
      <c r="BE34" s="125">
        <f>AI34*Valores!$C$85</f>
        <v>57594.864294</v>
      </c>
      <c r="BF34" s="125">
        <f>AI34*Valores!$C$84</f>
        <v>6399.429366</v>
      </c>
      <c r="BG34" s="126"/>
      <c r="BH34" s="126">
        <v>45</v>
      </c>
      <c r="BI34" s="123" t="s">
        <v>4</v>
      </c>
    </row>
    <row r="35" spans="1:61" s="110" customFormat="1" ht="11.25" customHeight="1">
      <c r="A35" s="123" t="s">
        <v>159</v>
      </c>
      <c r="B35" s="123">
        <v>1</v>
      </c>
      <c r="C35" s="126">
        <v>28</v>
      </c>
      <c r="D35" s="124" t="s">
        <v>160</v>
      </c>
      <c r="E35" s="192">
        <v>92</v>
      </c>
      <c r="F35" s="125">
        <f>ROUND(E35*Valores!$C$2,2)</f>
        <v>7615.76</v>
      </c>
      <c r="G35" s="192">
        <v>3483</v>
      </c>
      <c r="H35" s="125">
        <f>ROUND(G35*Valores!$C$2,2)</f>
        <v>288322.74</v>
      </c>
      <c r="I35" s="192">
        <v>1217</v>
      </c>
      <c r="J35" s="125">
        <f>ROUND(I35*Valores!$C$2,2)</f>
        <v>100743.26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120072.96</v>
      </c>
      <c r="N35" s="125">
        <f t="shared" si="1"/>
        <v>0</v>
      </c>
      <c r="O35" s="125">
        <f>Valores!$C$12</f>
        <v>187792.57</v>
      </c>
      <c r="P35" s="125">
        <f>Valores!$D$5</f>
        <v>42317.14</v>
      </c>
      <c r="Q35" s="125">
        <v>0</v>
      </c>
      <c r="R35" s="125">
        <f>IF($F$4="NO",Valores!$C$48,Valores!$C$48/2)</f>
        <v>44235.76</v>
      </c>
      <c r="S35" s="125">
        <f>Valores!$C$19</f>
        <v>39374.32</v>
      </c>
      <c r="T35" s="125">
        <f t="shared" si="8"/>
        <v>39374.32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Valores!$C$98</f>
        <v>115888.34</v>
      </c>
      <c r="AA35" s="125">
        <f>Valores!$C$25</f>
        <v>1730.69</v>
      </c>
      <c r="AB35" s="214">
        <v>0</v>
      </c>
      <c r="AC35" s="125">
        <f t="shared" si="2"/>
        <v>0</v>
      </c>
      <c r="AD35" s="125">
        <f>Valores!$C$26</f>
        <v>1730.69</v>
      </c>
      <c r="AE35" s="192">
        <v>0</v>
      </c>
      <c r="AF35" s="125">
        <f>ROUND(AE35*Valores!$C$2,2)</f>
        <v>0</v>
      </c>
      <c r="AG35" s="125">
        <f>ROUND(IF($F$4="NO",Valores!$C$64,Valores!$C$64/2),2)</f>
        <v>19786.28</v>
      </c>
      <c r="AH35" s="125">
        <f>SUM(F35,H35,J35,L35,M35,N35,O35,P35,Q35,R35,T35,U35,V35,X35,Y35,Z35,AA35,AC35,AD35,AF35,AG35)*Valores!$C$104</f>
        <v>96961.05099999999</v>
      </c>
      <c r="AI35" s="125">
        <f t="shared" si="3"/>
        <v>1066571.561</v>
      </c>
      <c r="AJ35" s="125">
        <f>Valores!$C$32</f>
        <v>70000</v>
      </c>
      <c r="AK35" s="125">
        <v>0</v>
      </c>
      <c r="AL35" s="125">
        <f>Valores!$C$91</f>
        <v>0</v>
      </c>
      <c r="AM35" s="125">
        <f>Valores!C$39*B35</f>
        <v>0</v>
      </c>
      <c r="AN35" s="125">
        <f>IF($F$3="NO",0,Valores!$C$56)</f>
        <v>0</v>
      </c>
      <c r="AO35" s="125">
        <f t="shared" si="4"/>
        <v>70000</v>
      </c>
      <c r="AP35" s="125">
        <f>AI35*Valores!$C$72</f>
        <v>-117322.87170999999</v>
      </c>
      <c r="AQ35" s="125">
        <f>IF(AI35&lt;Valores!$E$73,-0.02,IF(AI35&lt;Valores!$F$73,-0.03,-0.04))*AI35</f>
        <v>-42662.86244</v>
      </c>
      <c r="AR35" s="125">
        <f>AI35*Valores!$C$75</f>
        <v>-58661.435854999996</v>
      </c>
      <c r="AS35" s="125">
        <f>Valores!$C$102</f>
        <v>-1270.16</v>
      </c>
      <c r="AT35" s="125">
        <f>IF($F$5=0,Valores!$C$103,(Valores!$C$103+$F$5*(Valores!$C$103)))</f>
        <v>-11714</v>
      </c>
      <c r="AU35" s="125">
        <f t="shared" si="6"/>
        <v>904940.230995</v>
      </c>
      <c r="AV35" s="125">
        <f t="shared" si="0"/>
        <v>-117322.87170999999</v>
      </c>
      <c r="AW35" s="125">
        <f t="shared" si="7"/>
        <v>-42662.86244</v>
      </c>
      <c r="AX35" s="125">
        <f>AI35*Valores!$C$76</f>
        <v>-28797.432147</v>
      </c>
      <c r="AY35" s="125">
        <f>AI35*Valores!$C$77</f>
        <v>-3199.714683</v>
      </c>
      <c r="AZ35" s="125">
        <f t="shared" si="5"/>
        <v>944588.6800200001</v>
      </c>
      <c r="BA35" s="125">
        <f>AI35*Valores!$C$79</f>
        <v>170651.44976</v>
      </c>
      <c r="BB35" s="125">
        <f>AI35*Valores!$C$80</f>
        <v>74660.00927000001</v>
      </c>
      <c r="BC35" s="125">
        <f>AI35*Valores!$C$81</f>
        <v>10665.71561</v>
      </c>
      <c r="BD35" s="125">
        <f>AI35*Valores!$C$83</f>
        <v>37330.004635000005</v>
      </c>
      <c r="BE35" s="125">
        <f>AI35*Valores!$C$85</f>
        <v>57594.864294</v>
      </c>
      <c r="BF35" s="125">
        <f>AI35*Valores!$C$84</f>
        <v>6399.429366</v>
      </c>
      <c r="BG35" s="126"/>
      <c r="BH35" s="126">
        <v>45</v>
      </c>
      <c r="BI35" s="123" t="s">
        <v>4</v>
      </c>
    </row>
    <row r="36" spans="1:61" s="110" customFormat="1" ht="11.25" customHeight="1">
      <c r="A36" s="123" t="s">
        <v>161</v>
      </c>
      <c r="B36" s="123">
        <v>1</v>
      </c>
      <c r="C36" s="126">
        <v>29</v>
      </c>
      <c r="D36" s="124" t="s">
        <v>162</v>
      </c>
      <c r="E36" s="192">
        <v>85</v>
      </c>
      <c r="F36" s="125">
        <f>ROUND(E36*Valores!$C$2,2)</f>
        <v>7036.3</v>
      </c>
      <c r="G36" s="192">
        <v>3498</v>
      </c>
      <c r="H36" s="125">
        <f>ROUND(G36*Valores!$C$2,2)</f>
        <v>289564.44</v>
      </c>
      <c r="I36" s="192">
        <v>1209</v>
      </c>
      <c r="J36" s="125">
        <f>ROUND(I36*Valores!$C$2,2)</f>
        <v>100081.02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120072.96</v>
      </c>
      <c r="N36" s="125">
        <f t="shared" si="1"/>
        <v>0</v>
      </c>
      <c r="O36" s="125">
        <f>Valores!$C$12</f>
        <v>187792.57</v>
      </c>
      <c r="P36" s="125">
        <f>Valores!$D$5</f>
        <v>42317.14</v>
      </c>
      <c r="Q36" s="125">
        <v>0</v>
      </c>
      <c r="R36" s="125">
        <f>IF($F$4="NO",Valores!$C$48,Valores!$C$48/2)</f>
        <v>44235.76</v>
      </c>
      <c r="S36" s="125">
        <f>Valores!$C$19</f>
        <v>39374.32</v>
      </c>
      <c r="T36" s="125">
        <f t="shared" si="8"/>
        <v>39374.32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Valores!$C$98</f>
        <v>115888.34</v>
      </c>
      <c r="AA36" s="125">
        <f>Valores!$C$25</f>
        <v>1730.69</v>
      </c>
      <c r="AB36" s="214">
        <v>0</v>
      </c>
      <c r="AC36" s="125">
        <f t="shared" si="2"/>
        <v>0</v>
      </c>
      <c r="AD36" s="125">
        <f>Valores!$C$26</f>
        <v>1730.69</v>
      </c>
      <c r="AE36" s="192">
        <v>0</v>
      </c>
      <c r="AF36" s="125">
        <f>ROUND(AE36*Valores!$C$2,2)</f>
        <v>0</v>
      </c>
      <c r="AG36" s="125">
        <f>ROUND(IF($F$4="NO",Valores!$C$64,Valores!$C$64/2),2)</f>
        <v>19786.28</v>
      </c>
      <c r="AH36" s="125">
        <f>SUM(F36,H36,J36,L36,M36,N36,O36,P36,Q36,R36,T36,U36,V36,X36,Y36,Z36,AA36,AC36,AD36,AF36,AG36)*Valores!$C$104</f>
        <v>96961.05099999999</v>
      </c>
      <c r="AI36" s="125">
        <f t="shared" si="3"/>
        <v>1066571.561</v>
      </c>
      <c r="AJ36" s="125">
        <f>Valores!$C$32</f>
        <v>70000</v>
      </c>
      <c r="AK36" s="125">
        <v>0</v>
      </c>
      <c r="AL36" s="125">
        <f>Valores!$C$91</f>
        <v>0</v>
      </c>
      <c r="AM36" s="125">
        <f>Valores!C$39*B36</f>
        <v>0</v>
      </c>
      <c r="AN36" s="125">
        <f>IF($F$3="NO",0,Valores!$C$56)</f>
        <v>0</v>
      </c>
      <c r="AO36" s="125">
        <f t="shared" si="4"/>
        <v>70000</v>
      </c>
      <c r="AP36" s="125">
        <f>AI36*Valores!$C$72</f>
        <v>-117322.87170999999</v>
      </c>
      <c r="AQ36" s="125">
        <f>IF(AI36&lt;Valores!$E$73,-0.02,IF(AI36&lt;Valores!$F$73,-0.03,-0.04))*AI36</f>
        <v>-42662.86244</v>
      </c>
      <c r="AR36" s="125">
        <f>AI36*Valores!$C$75</f>
        <v>-58661.435854999996</v>
      </c>
      <c r="AS36" s="125">
        <f>Valores!$C$102</f>
        <v>-1270.16</v>
      </c>
      <c r="AT36" s="125">
        <f>IF($F$5=0,Valores!$C$103,(Valores!$C$103+$F$5*(Valores!$C$103)))</f>
        <v>-11714</v>
      </c>
      <c r="AU36" s="125">
        <f t="shared" si="6"/>
        <v>904940.230995</v>
      </c>
      <c r="AV36" s="125">
        <f t="shared" si="0"/>
        <v>-117322.87170999999</v>
      </c>
      <c r="AW36" s="125">
        <f t="shared" si="7"/>
        <v>-42662.86244</v>
      </c>
      <c r="AX36" s="125">
        <f>AI36*Valores!$C$76</f>
        <v>-28797.432147</v>
      </c>
      <c r="AY36" s="125">
        <f>AI36*Valores!$C$77</f>
        <v>-3199.714683</v>
      </c>
      <c r="AZ36" s="125">
        <f t="shared" si="5"/>
        <v>944588.6800200001</v>
      </c>
      <c r="BA36" s="125">
        <f>AI36*Valores!$C$79</f>
        <v>170651.44976</v>
      </c>
      <c r="BB36" s="125">
        <f>AI36*Valores!$C$80</f>
        <v>74660.00927000001</v>
      </c>
      <c r="BC36" s="125">
        <f>AI36*Valores!$C$81</f>
        <v>10665.71561</v>
      </c>
      <c r="BD36" s="125">
        <f>AI36*Valores!$C$83</f>
        <v>37330.004635000005</v>
      </c>
      <c r="BE36" s="125">
        <f>AI36*Valores!$C$85</f>
        <v>57594.864294</v>
      </c>
      <c r="BF36" s="125">
        <f>AI36*Valores!$C$84</f>
        <v>6399.429366</v>
      </c>
      <c r="BG36" s="126"/>
      <c r="BH36" s="126">
        <v>45</v>
      </c>
      <c r="BI36" s="123" t="s">
        <v>8</v>
      </c>
    </row>
    <row r="37" spans="1:61" s="110" customFormat="1" ht="11.25" customHeight="1">
      <c r="A37" s="123" t="s">
        <v>163</v>
      </c>
      <c r="B37" s="123">
        <v>1</v>
      </c>
      <c r="C37" s="126">
        <v>30</v>
      </c>
      <c r="D37" s="124" t="s">
        <v>164</v>
      </c>
      <c r="E37" s="192">
        <v>92</v>
      </c>
      <c r="F37" s="125">
        <f>ROUND(E37*Valores!$C$2,2)</f>
        <v>7615.76</v>
      </c>
      <c r="G37" s="192">
        <v>3483</v>
      </c>
      <c r="H37" s="125">
        <f>ROUND(G37*Valores!$C$2,2)</f>
        <v>288322.74</v>
      </c>
      <c r="I37" s="192">
        <v>1217</v>
      </c>
      <c r="J37" s="125">
        <f>ROUND(I37*Valores!$C$2,2)</f>
        <v>100743.26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120072.96</v>
      </c>
      <c r="N37" s="125">
        <f t="shared" si="1"/>
        <v>0</v>
      </c>
      <c r="O37" s="125">
        <f>Valores!$C$12</f>
        <v>187792.57</v>
      </c>
      <c r="P37" s="125">
        <f>Valores!$D$5</f>
        <v>42317.14</v>
      </c>
      <c r="Q37" s="125">
        <v>0</v>
      </c>
      <c r="R37" s="125">
        <f>IF($F$4="NO",Valores!$C$48,Valores!$C$48/2)</f>
        <v>44235.76</v>
      </c>
      <c r="S37" s="125">
        <f>Valores!$C$19</f>
        <v>39374.32</v>
      </c>
      <c r="T37" s="125">
        <f t="shared" si="8"/>
        <v>39374.32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66137.63</v>
      </c>
      <c r="Z37" s="125">
        <f>Valores!$C$98</f>
        <v>115888.34</v>
      </c>
      <c r="AA37" s="125">
        <f>Valores!$C$25</f>
        <v>1730.69</v>
      </c>
      <c r="AB37" s="214">
        <v>0</v>
      </c>
      <c r="AC37" s="125">
        <f t="shared" si="2"/>
        <v>0</v>
      </c>
      <c r="AD37" s="125">
        <f>Valores!$C$26</f>
        <v>1730.69</v>
      </c>
      <c r="AE37" s="192">
        <v>0</v>
      </c>
      <c r="AF37" s="125">
        <f>ROUND(AE37*Valores!$C$2,2)</f>
        <v>0</v>
      </c>
      <c r="AG37" s="125">
        <f>ROUND(IF($F$4="NO",Valores!$C$64,Valores!$C$64/2),2)</f>
        <v>19786.28</v>
      </c>
      <c r="AH37" s="125">
        <f>SUM(F37,H37,J37,L37,M37,N37,O37,P37,Q37,R37,T37,U37,V37,X37,Y37,Z37,AA37,AC37,AD37,AF37,AG37)*Valores!$C$104</f>
        <v>103574.814</v>
      </c>
      <c r="AI37" s="125">
        <f t="shared" si="3"/>
        <v>1139322.954</v>
      </c>
      <c r="AJ37" s="125">
        <f>Valores!$C$32</f>
        <v>70000</v>
      </c>
      <c r="AK37" s="125">
        <v>0</v>
      </c>
      <c r="AL37" s="125">
        <f>Valores!$C$91</f>
        <v>0</v>
      </c>
      <c r="AM37" s="125">
        <f>Valores!C$39*B37</f>
        <v>0</v>
      </c>
      <c r="AN37" s="125">
        <f>IF($F$3="NO",0,Valores!$C$56)</f>
        <v>0</v>
      </c>
      <c r="AO37" s="125">
        <f t="shared" si="4"/>
        <v>70000</v>
      </c>
      <c r="AP37" s="125">
        <f>AI37*Valores!$C$72</f>
        <v>-125325.52493999999</v>
      </c>
      <c r="AQ37" s="125">
        <f>IF(AI37&lt;Valores!$E$73,-0.02,IF(AI37&lt;Valores!$F$73,-0.03,-0.04))*AI37</f>
        <v>-45572.918159999994</v>
      </c>
      <c r="AR37" s="125">
        <f>AI37*Valores!$C$75</f>
        <v>-62662.762469999994</v>
      </c>
      <c r="AS37" s="125">
        <f>Valores!$C$102</f>
        <v>-1270.16</v>
      </c>
      <c r="AT37" s="125">
        <f>IF($F$5=0,Valores!$C$103,(Valores!$C$103+$F$5*(Valores!$C$103)))</f>
        <v>-11714</v>
      </c>
      <c r="AU37" s="125">
        <f t="shared" si="6"/>
        <v>962777.58843</v>
      </c>
      <c r="AV37" s="125">
        <f t="shared" si="0"/>
        <v>-125325.52493999999</v>
      </c>
      <c r="AW37" s="125">
        <f t="shared" si="7"/>
        <v>-45572.918159999994</v>
      </c>
      <c r="AX37" s="125">
        <f>AI37*Valores!$C$76</f>
        <v>-30761.719757999996</v>
      </c>
      <c r="AY37" s="125">
        <f>AI37*Valores!$C$77</f>
        <v>-3417.9688619999997</v>
      </c>
      <c r="AZ37" s="125">
        <f t="shared" si="5"/>
        <v>1004244.82228</v>
      </c>
      <c r="BA37" s="125">
        <f>AI37*Valores!$C$79</f>
        <v>182291.67263999998</v>
      </c>
      <c r="BB37" s="125">
        <f>AI37*Valores!$C$80</f>
        <v>79752.60678</v>
      </c>
      <c r="BC37" s="125">
        <f>AI37*Valores!$C$81</f>
        <v>11393.229539999998</v>
      </c>
      <c r="BD37" s="125">
        <f>AI37*Valores!$C$83</f>
        <v>39876.30339</v>
      </c>
      <c r="BE37" s="125">
        <f>AI37*Valores!$C$85</f>
        <v>61523.43951599999</v>
      </c>
      <c r="BF37" s="125">
        <f>AI37*Valores!$C$84</f>
        <v>6835.937723999999</v>
      </c>
      <c r="BG37" s="126"/>
      <c r="BH37" s="126">
        <v>45</v>
      </c>
      <c r="BI37" s="123" t="s">
        <v>8</v>
      </c>
    </row>
    <row r="38" spans="1:61" s="110" customFormat="1" ht="11.25" customHeight="1">
      <c r="A38" s="123" t="s">
        <v>165</v>
      </c>
      <c r="B38" s="123">
        <v>1</v>
      </c>
      <c r="C38" s="126">
        <v>31</v>
      </c>
      <c r="D38" s="124" t="s">
        <v>166</v>
      </c>
      <c r="E38" s="192">
        <v>85</v>
      </c>
      <c r="F38" s="125">
        <f>ROUND(E38*Valores!$C$2,2)</f>
        <v>7036.3</v>
      </c>
      <c r="G38" s="192">
        <v>3498</v>
      </c>
      <c r="H38" s="125">
        <f>ROUND(G38*Valores!$C$2,2)</f>
        <v>289564.44</v>
      </c>
      <c r="I38" s="192">
        <v>202</v>
      </c>
      <c r="J38" s="125">
        <f>ROUND(I38*Valores!$C$2,2)</f>
        <v>16721.56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99233.1</v>
      </c>
      <c r="N38" s="125">
        <f t="shared" si="1"/>
        <v>0</v>
      </c>
      <c r="O38" s="125">
        <f>Valores!$C$12</f>
        <v>187792.57</v>
      </c>
      <c r="P38" s="125">
        <f>Valores!$D$5</f>
        <v>42317.14</v>
      </c>
      <c r="Q38" s="125">
        <v>0</v>
      </c>
      <c r="R38" s="125">
        <f>IF($F$4="NO",Valores!$C$48,Valores!$C$48/2)</f>
        <v>44235.76</v>
      </c>
      <c r="S38" s="125">
        <f>Valores!$C$19</f>
        <v>39374.32</v>
      </c>
      <c r="T38" s="125">
        <f t="shared" si="8"/>
        <v>39374.32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Valores!$C$98</f>
        <v>115888.34</v>
      </c>
      <c r="AA38" s="125">
        <f>Valores!$C$25</f>
        <v>1730.69</v>
      </c>
      <c r="AB38" s="214">
        <v>0</v>
      </c>
      <c r="AC38" s="125">
        <f t="shared" si="2"/>
        <v>0</v>
      </c>
      <c r="AD38" s="125">
        <f>Valores!$C$26</f>
        <v>1730.69</v>
      </c>
      <c r="AE38" s="192">
        <v>0</v>
      </c>
      <c r="AF38" s="125">
        <f>ROUND(AE38*Valores!$C$2,2)</f>
        <v>0</v>
      </c>
      <c r="AG38" s="125">
        <f>ROUND(IF($F$4="NO",Valores!$C$64,Valores!$C$64/2),2)</f>
        <v>19786.28</v>
      </c>
      <c r="AH38" s="125">
        <f>SUM(F38,H38,J38,L38,M38,N38,O38,P38,Q38,R38,T38,U38,V38,X38,Y38,Z38,AA38,AC38,AD38,AF38,AG38)*Valores!$C$104</f>
        <v>86541.11899999999</v>
      </c>
      <c r="AI38" s="125">
        <f t="shared" si="3"/>
        <v>951952.3089999998</v>
      </c>
      <c r="AJ38" s="125">
        <f>Valores!$C$32</f>
        <v>70000</v>
      </c>
      <c r="AK38" s="125">
        <v>0</v>
      </c>
      <c r="AL38" s="125">
        <f>Valores!$C$91</f>
        <v>0</v>
      </c>
      <c r="AM38" s="125">
        <f>Valores!C$39*B38</f>
        <v>0</v>
      </c>
      <c r="AN38" s="125">
        <f>IF($F$3="NO",0,Valores!$C$56)</f>
        <v>0</v>
      </c>
      <c r="AO38" s="125">
        <f t="shared" si="4"/>
        <v>70000</v>
      </c>
      <c r="AP38" s="125">
        <f>AI38*Valores!$C$72</f>
        <v>-104714.75398999998</v>
      </c>
      <c r="AQ38" s="125">
        <f>IF(AI38&lt;Valores!$E$73,-0.02,IF(AI38&lt;Valores!$F$73,-0.03,-0.04))*AI38</f>
        <v>-28558.569269999993</v>
      </c>
      <c r="AR38" s="125">
        <f>AI38*Valores!$C$75</f>
        <v>-52357.37699499999</v>
      </c>
      <c r="AS38" s="125">
        <f>Valores!$C$102</f>
        <v>-1270.16</v>
      </c>
      <c r="AT38" s="125">
        <f>IF($F$5=0,Valores!$C$103,(Valores!$C$103+$F$5*(Valores!$C$103)))</f>
        <v>-11714</v>
      </c>
      <c r="AU38" s="125">
        <f t="shared" si="6"/>
        <v>823337.4487449998</v>
      </c>
      <c r="AV38" s="125">
        <f t="shared" si="0"/>
        <v>-104714.75398999998</v>
      </c>
      <c r="AW38" s="125">
        <f t="shared" si="7"/>
        <v>-28558.569269999993</v>
      </c>
      <c r="AX38" s="125">
        <f>AI38*Valores!$C$76</f>
        <v>-25702.712342999992</v>
      </c>
      <c r="AY38" s="125">
        <f>AI38*Valores!$C$77</f>
        <v>-2855.8569269999994</v>
      </c>
      <c r="AZ38" s="125">
        <f t="shared" si="5"/>
        <v>860120.4164699998</v>
      </c>
      <c r="BA38" s="125">
        <f>AI38*Valores!$C$79</f>
        <v>152312.36943999998</v>
      </c>
      <c r="BB38" s="125">
        <f>AI38*Valores!$C$80</f>
        <v>66636.66162999999</v>
      </c>
      <c r="BC38" s="125">
        <f>AI38*Valores!$C$81</f>
        <v>9519.523089999999</v>
      </c>
      <c r="BD38" s="125">
        <f>AI38*Valores!$C$83</f>
        <v>33318.330814999994</v>
      </c>
      <c r="BE38" s="125">
        <f>AI38*Valores!$C$85</f>
        <v>51405.424685999984</v>
      </c>
      <c r="BF38" s="125">
        <f>AI38*Valores!$C$84</f>
        <v>5711.713853999999</v>
      </c>
      <c r="BG38" s="126"/>
      <c r="BH38" s="126">
        <v>45</v>
      </c>
      <c r="BI38" s="123" t="s">
        <v>8</v>
      </c>
    </row>
    <row r="39" spans="1:61" s="110" customFormat="1" ht="11.25" customHeight="1">
      <c r="A39" s="123" t="s">
        <v>167</v>
      </c>
      <c r="B39" s="123">
        <v>1</v>
      </c>
      <c r="C39" s="126">
        <v>32</v>
      </c>
      <c r="D39" s="124" t="s">
        <v>168</v>
      </c>
      <c r="E39" s="192">
        <v>85</v>
      </c>
      <c r="F39" s="125">
        <f>ROUND(E39*Valores!$C$2,2)</f>
        <v>7036.3</v>
      </c>
      <c r="G39" s="192">
        <v>3498</v>
      </c>
      <c r="H39" s="125">
        <f>ROUND(G39*Valores!$C$2,2)</f>
        <v>289564.44</v>
      </c>
      <c r="I39" s="192">
        <v>1209</v>
      </c>
      <c r="J39" s="125">
        <f>ROUND(I39*Valores!$C$2,2)</f>
        <v>100081.02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120072.96</v>
      </c>
      <c r="N39" s="125">
        <f t="shared" si="1"/>
        <v>0</v>
      </c>
      <c r="O39" s="125">
        <f>Valores!$C$12</f>
        <v>187792.57</v>
      </c>
      <c r="P39" s="125">
        <f>Valores!$D$5</f>
        <v>42317.14</v>
      </c>
      <c r="Q39" s="125">
        <v>0</v>
      </c>
      <c r="R39" s="125">
        <f>IF($F$4="NO",Valores!$C$48,Valores!$C$48/2)</f>
        <v>44235.76</v>
      </c>
      <c r="S39" s="125">
        <f>Valores!$C$19</f>
        <v>39374.32</v>
      </c>
      <c r="T39" s="125">
        <f t="shared" si="8"/>
        <v>39374.32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Valores!$C$98</f>
        <v>115888.34</v>
      </c>
      <c r="AA39" s="125">
        <f>Valores!$C$25</f>
        <v>1730.69</v>
      </c>
      <c r="AB39" s="214">
        <v>0</v>
      </c>
      <c r="AC39" s="125">
        <f t="shared" si="2"/>
        <v>0</v>
      </c>
      <c r="AD39" s="125">
        <f>Valores!$C$26</f>
        <v>1730.69</v>
      </c>
      <c r="AE39" s="192">
        <v>0</v>
      </c>
      <c r="AF39" s="125">
        <f>ROUND(AE39*Valores!$C$2,2)</f>
        <v>0</v>
      </c>
      <c r="AG39" s="125">
        <f>ROUND(IF($F$4="NO",Valores!$C$64,Valores!$C$64/2),2)</f>
        <v>19786.28</v>
      </c>
      <c r="AH39" s="125">
        <f>SUM(F39,H39,J39,L39,M39,N39,O39,P39,Q39,R39,T39,U39,V39,X39,Y39,Z39,AA39,AC39,AD39,AF39,AG39)*Valores!$C$104</f>
        <v>96961.05099999999</v>
      </c>
      <c r="AI39" s="125">
        <f t="shared" si="3"/>
        <v>1066571.561</v>
      </c>
      <c r="AJ39" s="125">
        <f>Valores!$C$32</f>
        <v>70000</v>
      </c>
      <c r="AK39" s="125">
        <v>0</v>
      </c>
      <c r="AL39" s="125">
        <f>Valores!$C$91</f>
        <v>0</v>
      </c>
      <c r="AM39" s="125">
        <f>Valores!C$39*B39</f>
        <v>0</v>
      </c>
      <c r="AN39" s="125">
        <f>IF($F$3="NO",0,Valores!$C$56)</f>
        <v>0</v>
      </c>
      <c r="AO39" s="125">
        <f t="shared" si="4"/>
        <v>70000</v>
      </c>
      <c r="AP39" s="125">
        <f>AI39*Valores!$C$72</f>
        <v>-117322.87170999999</v>
      </c>
      <c r="AQ39" s="125">
        <f>IF(AI39&lt;Valores!$E$73,-0.02,IF(AI39&lt;Valores!$F$73,-0.03,-0.04))*AI39</f>
        <v>-42662.86244</v>
      </c>
      <c r="AR39" s="125">
        <f>AI39*Valores!$C$75</f>
        <v>-58661.435854999996</v>
      </c>
      <c r="AS39" s="125">
        <f>Valores!$C$102</f>
        <v>-1270.16</v>
      </c>
      <c r="AT39" s="125">
        <f>IF($F$5=0,Valores!$C$103,(Valores!$C$103+$F$5*(Valores!$C$103)))</f>
        <v>-11714</v>
      </c>
      <c r="AU39" s="125">
        <f t="shared" si="6"/>
        <v>904940.230995</v>
      </c>
      <c r="AV39" s="125">
        <f t="shared" si="0"/>
        <v>-117322.87170999999</v>
      </c>
      <c r="AW39" s="125">
        <f t="shared" si="7"/>
        <v>-42662.86244</v>
      </c>
      <c r="AX39" s="125">
        <f>AI39*Valores!$C$76</f>
        <v>-28797.432147</v>
      </c>
      <c r="AY39" s="125">
        <f>AI39*Valores!$C$77</f>
        <v>-3199.714683</v>
      </c>
      <c r="AZ39" s="125">
        <f t="shared" si="5"/>
        <v>944588.6800200001</v>
      </c>
      <c r="BA39" s="125">
        <f>AI39*Valores!$C$79</f>
        <v>170651.44976</v>
      </c>
      <c r="BB39" s="125">
        <f>AI39*Valores!$C$80</f>
        <v>74660.00927000001</v>
      </c>
      <c r="BC39" s="125">
        <f>AI39*Valores!$C$81</f>
        <v>10665.71561</v>
      </c>
      <c r="BD39" s="125">
        <f>AI39*Valores!$C$83</f>
        <v>37330.004635000005</v>
      </c>
      <c r="BE39" s="125">
        <f>AI39*Valores!$C$85</f>
        <v>57594.864294</v>
      </c>
      <c r="BF39" s="125">
        <f>AI39*Valores!$C$84</f>
        <v>6399.429366</v>
      </c>
      <c r="BG39" s="126"/>
      <c r="BH39" s="126">
        <v>45</v>
      </c>
      <c r="BI39" s="123" t="s">
        <v>4</v>
      </c>
    </row>
    <row r="40" spans="1:61" s="110" customFormat="1" ht="11.25" customHeight="1">
      <c r="A40" s="123" t="s">
        <v>169</v>
      </c>
      <c r="B40" s="123">
        <v>1</v>
      </c>
      <c r="C40" s="126">
        <v>33</v>
      </c>
      <c r="D40" s="124" t="s">
        <v>170</v>
      </c>
      <c r="E40" s="192">
        <v>85</v>
      </c>
      <c r="F40" s="125">
        <f>ROUND(E40*Valores!$C$2,2)</f>
        <v>7036.3</v>
      </c>
      <c r="G40" s="192">
        <v>3498</v>
      </c>
      <c r="H40" s="125">
        <f>ROUND(G40*Valores!$C$2,2)</f>
        <v>289564.44</v>
      </c>
      <c r="I40" s="192">
        <v>1209</v>
      </c>
      <c r="J40" s="125">
        <f>ROUND(I40*Valores!$C$2,2)</f>
        <v>100081.02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120072.96</v>
      </c>
      <c r="N40" s="125">
        <f t="shared" si="1"/>
        <v>0</v>
      </c>
      <c r="O40" s="125">
        <f>Valores!$C$12</f>
        <v>187792.57</v>
      </c>
      <c r="P40" s="125">
        <f>Valores!$D$5</f>
        <v>42317.14</v>
      </c>
      <c r="Q40" s="125">
        <v>0</v>
      </c>
      <c r="R40" s="125">
        <f>IF($F$4="NO",Valores!$C$48,Valores!$C$48/2)</f>
        <v>44235.76</v>
      </c>
      <c r="S40" s="125">
        <f>Valores!$C$19</f>
        <v>39374.32</v>
      </c>
      <c r="T40" s="125">
        <f t="shared" si="8"/>
        <v>39374.32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Valores!$C$98</f>
        <v>115888.34</v>
      </c>
      <c r="AA40" s="125">
        <f>Valores!$C$25</f>
        <v>1730.69</v>
      </c>
      <c r="AB40" s="214">
        <v>0</v>
      </c>
      <c r="AC40" s="125">
        <f t="shared" si="2"/>
        <v>0</v>
      </c>
      <c r="AD40" s="125">
        <f>Valores!$C$26</f>
        <v>1730.69</v>
      </c>
      <c r="AE40" s="192">
        <v>0</v>
      </c>
      <c r="AF40" s="125">
        <f>ROUND(AE40*Valores!$C$2,2)</f>
        <v>0</v>
      </c>
      <c r="AG40" s="125">
        <f>ROUND(IF($F$4="NO",Valores!$C$64,Valores!$C$64/2),2)</f>
        <v>19786.28</v>
      </c>
      <c r="AH40" s="125">
        <f>SUM(F40,H40,J40,L40,M40,N40,O40,P40,Q40,R40,T40,U40,V40,X40,Y40,Z40,AA40,AC40,AD40,AF40,AG40)*Valores!$C$104</f>
        <v>96961.05099999999</v>
      </c>
      <c r="AI40" s="125">
        <f t="shared" si="3"/>
        <v>1066571.561</v>
      </c>
      <c r="AJ40" s="125">
        <f>Valores!$C$32</f>
        <v>70000</v>
      </c>
      <c r="AK40" s="125">
        <v>0</v>
      </c>
      <c r="AL40" s="125">
        <f>Valores!$C$91</f>
        <v>0</v>
      </c>
      <c r="AM40" s="125">
        <f>Valores!C$39*B40</f>
        <v>0</v>
      </c>
      <c r="AN40" s="125">
        <f>IF($F$3="NO",0,Valores!$C$56)</f>
        <v>0</v>
      </c>
      <c r="AO40" s="125">
        <f t="shared" si="4"/>
        <v>70000</v>
      </c>
      <c r="AP40" s="125">
        <f>AI40*Valores!$C$72</f>
        <v>-117322.87170999999</v>
      </c>
      <c r="AQ40" s="125">
        <f>IF(AI40&lt;Valores!$E$73,-0.02,IF(AI40&lt;Valores!$F$73,-0.03,-0.04))*AI40</f>
        <v>-42662.86244</v>
      </c>
      <c r="AR40" s="125">
        <f>AI40*Valores!$C$75</f>
        <v>-58661.435854999996</v>
      </c>
      <c r="AS40" s="125">
        <f>Valores!$C$102</f>
        <v>-1270.16</v>
      </c>
      <c r="AT40" s="125">
        <f>IF($F$5=0,Valores!$C$103,(Valores!$C$103+$F$5*(Valores!$C$103)))</f>
        <v>-11714</v>
      </c>
      <c r="AU40" s="125">
        <f t="shared" si="6"/>
        <v>904940.230995</v>
      </c>
      <c r="AV40" s="125">
        <f t="shared" si="0"/>
        <v>-117322.87170999999</v>
      </c>
      <c r="AW40" s="125">
        <f t="shared" si="7"/>
        <v>-42662.86244</v>
      </c>
      <c r="AX40" s="125">
        <f>AI40*Valores!$C$76</f>
        <v>-28797.432147</v>
      </c>
      <c r="AY40" s="125">
        <f>AI40*Valores!$C$77</f>
        <v>-3199.714683</v>
      </c>
      <c r="AZ40" s="125">
        <f t="shared" si="5"/>
        <v>944588.6800200001</v>
      </c>
      <c r="BA40" s="125">
        <f>AI40*Valores!$C$79</f>
        <v>170651.44976</v>
      </c>
      <c r="BB40" s="125">
        <f>AI40*Valores!$C$80</f>
        <v>74660.00927000001</v>
      </c>
      <c r="BC40" s="125">
        <f>AI40*Valores!$C$81</f>
        <v>10665.71561</v>
      </c>
      <c r="BD40" s="125">
        <f>AI40*Valores!$C$83</f>
        <v>37330.004635000005</v>
      </c>
      <c r="BE40" s="125">
        <f>AI40*Valores!$C$85</f>
        <v>57594.864294</v>
      </c>
      <c r="BF40" s="125">
        <f>AI40*Valores!$C$84</f>
        <v>6399.429366</v>
      </c>
      <c r="BG40" s="126"/>
      <c r="BH40" s="126">
        <v>45</v>
      </c>
      <c r="BI40" s="123" t="s">
        <v>8</v>
      </c>
    </row>
    <row r="41" spans="1:61" s="110" customFormat="1" ht="11.25" customHeight="1">
      <c r="A41" s="123" t="s">
        <v>171</v>
      </c>
      <c r="B41" s="123">
        <v>1</v>
      </c>
      <c r="C41" s="126">
        <v>34</v>
      </c>
      <c r="D41" s="124" t="s">
        <v>172</v>
      </c>
      <c r="E41" s="192">
        <v>101</v>
      </c>
      <c r="F41" s="125">
        <f>ROUND(E41*Valores!$C$2,2)</f>
        <v>8360.78</v>
      </c>
      <c r="G41" s="192">
        <v>2548</v>
      </c>
      <c r="H41" s="125">
        <f>ROUND(G41*Valores!$C$2,2)</f>
        <v>210923.44</v>
      </c>
      <c r="I41" s="192">
        <v>216</v>
      </c>
      <c r="J41" s="125">
        <f>ROUND(I41*Valores!$C$2,2)</f>
        <v>17880.48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78139.44</v>
      </c>
      <c r="N41" s="125">
        <f t="shared" si="1"/>
        <v>0</v>
      </c>
      <c r="O41" s="125">
        <f>Valores!$C$9</f>
        <v>104016.7</v>
      </c>
      <c r="P41" s="125">
        <f>Valores!$D$5</f>
        <v>42317.14</v>
      </c>
      <c r="Q41" s="125">
        <v>0</v>
      </c>
      <c r="R41" s="125">
        <f>IF($F$4="NO",Valores!$C$47,Valores!$C$47/2)</f>
        <v>36018.74</v>
      </c>
      <c r="S41" s="125">
        <f>Valores!$C$19</f>
        <v>39374.32</v>
      </c>
      <c r="T41" s="125">
        <f t="shared" si="8"/>
        <v>39374.32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Valores!$C$96</f>
        <v>57944.18</v>
      </c>
      <c r="AA41" s="125">
        <f>Valores!$C$25</f>
        <v>1730.69</v>
      </c>
      <c r="AB41" s="214">
        <v>0</v>
      </c>
      <c r="AC41" s="125">
        <f t="shared" si="2"/>
        <v>0</v>
      </c>
      <c r="AD41" s="125">
        <f>Valores!$C$26</f>
        <v>1730.69</v>
      </c>
      <c r="AE41" s="192">
        <v>0</v>
      </c>
      <c r="AF41" s="125">
        <f>ROUND(AE41*Valores!$C$2,2)</f>
        <v>0</v>
      </c>
      <c r="AG41" s="125">
        <f>ROUND(IF($F$4="NO",Valores!$C$64,Valores!$C$64/2),2)</f>
        <v>19786.28</v>
      </c>
      <c r="AH41" s="125">
        <f>SUM(F41,H41,J41,L41,M41,N41,O41,P41,Q41,R41,T41,U41,V41,X41,Y41,Z41,AA41,AC41,AD41,AF41,AG41)*Valores!$C$104</f>
        <v>61822.288</v>
      </c>
      <c r="AI41" s="125">
        <f t="shared" si="3"/>
        <v>680045.1680000001</v>
      </c>
      <c r="AJ41" s="125">
        <f>Valores!$C$32</f>
        <v>70000</v>
      </c>
      <c r="AK41" s="125">
        <v>0</v>
      </c>
      <c r="AL41" s="125">
        <f>Valores!$C$89</f>
        <v>0</v>
      </c>
      <c r="AM41" s="125">
        <f>Valores!C$39*B41</f>
        <v>0</v>
      </c>
      <c r="AN41" s="125">
        <f>IF($F$3="NO",0,Valores!$C$56)</f>
        <v>0</v>
      </c>
      <c r="AO41" s="125">
        <f t="shared" si="4"/>
        <v>70000</v>
      </c>
      <c r="AP41" s="125">
        <f>AI41*Valores!$C$72</f>
        <v>-74804.96848000001</v>
      </c>
      <c r="AQ41" s="125">
        <f>IF(AI41&lt;Valores!$E$73,-0.02,IF(AI41&lt;Valores!$F$73,-0.03,-0.04))*AI41</f>
        <v>-13600.903360000002</v>
      </c>
      <c r="AR41" s="125">
        <f>AI41*Valores!$C$75</f>
        <v>-37402.484240000005</v>
      </c>
      <c r="AS41" s="125">
        <f>Valores!$C$102</f>
        <v>-1270.16</v>
      </c>
      <c r="AT41" s="125">
        <f>IF($F$5=0,Valores!$C$103,(Valores!$C$103+$F$5*(Valores!$C$103)))</f>
        <v>-11714</v>
      </c>
      <c r="AU41" s="125">
        <f t="shared" si="6"/>
        <v>611252.6519200001</v>
      </c>
      <c r="AV41" s="125">
        <f t="shared" si="0"/>
        <v>-74804.96848000001</v>
      </c>
      <c r="AW41" s="125">
        <f t="shared" si="7"/>
        <v>-13600.903360000002</v>
      </c>
      <c r="AX41" s="125">
        <f>AI41*Valores!$C$76</f>
        <v>-18361.219536</v>
      </c>
      <c r="AY41" s="125">
        <f>AI41*Valores!$C$77</f>
        <v>-2040.1355040000003</v>
      </c>
      <c r="AZ41" s="125">
        <f t="shared" si="5"/>
        <v>641237.9411200001</v>
      </c>
      <c r="BA41" s="125">
        <f>AI41*Valores!$C$79</f>
        <v>108807.22688000002</v>
      </c>
      <c r="BB41" s="125">
        <f>AI41*Valores!$C$80</f>
        <v>47603.16176000001</v>
      </c>
      <c r="BC41" s="125">
        <f>AI41*Valores!$C$81</f>
        <v>6800.451680000001</v>
      </c>
      <c r="BD41" s="125">
        <f>AI41*Valores!$C$83</f>
        <v>23801.580880000005</v>
      </c>
      <c r="BE41" s="125">
        <f>AI41*Valores!$C$85</f>
        <v>36722.439072</v>
      </c>
      <c r="BF41" s="125">
        <f>AI41*Valores!$C$84</f>
        <v>4080.2710080000006</v>
      </c>
      <c r="BG41" s="126"/>
      <c r="BH41" s="126">
        <v>45</v>
      </c>
      <c r="BI41" s="123" t="s">
        <v>8</v>
      </c>
    </row>
    <row r="42" spans="1:61" s="110" customFormat="1" ht="11.25" customHeight="1">
      <c r="A42" s="123" t="s">
        <v>173</v>
      </c>
      <c r="B42" s="123">
        <v>1</v>
      </c>
      <c r="C42" s="126">
        <v>35</v>
      </c>
      <c r="D42" s="124" t="s">
        <v>172</v>
      </c>
      <c r="E42" s="192">
        <v>101</v>
      </c>
      <c r="F42" s="125">
        <f>ROUND(E42*Valores!$C$2,2)</f>
        <v>8360.78</v>
      </c>
      <c r="G42" s="192">
        <v>2548</v>
      </c>
      <c r="H42" s="125">
        <f>ROUND(G42*Valores!$C$2,2)</f>
        <v>210923.44</v>
      </c>
      <c r="I42" s="192">
        <v>216</v>
      </c>
      <c r="J42" s="125">
        <f>ROUND(I42*Valores!$C$2,2)</f>
        <v>17880.48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78139.44</v>
      </c>
      <c r="N42" s="125">
        <f t="shared" si="1"/>
        <v>0</v>
      </c>
      <c r="O42" s="125">
        <f>Valores!$C$9</f>
        <v>104016.7</v>
      </c>
      <c r="P42" s="125">
        <f>Valores!$D$5</f>
        <v>42317.14</v>
      </c>
      <c r="Q42" s="125">
        <v>0</v>
      </c>
      <c r="R42" s="125">
        <f>IF($F$4="NO",Valores!$C$47,Valores!$C$47/2)</f>
        <v>36018.74</v>
      </c>
      <c r="S42" s="125">
        <f>Valores!$C$19</f>
        <v>39374.32</v>
      </c>
      <c r="T42" s="125">
        <f t="shared" si="8"/>
        <v>39374.32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Valores!$C$96</f>
        <v>57944.18</v>
      </c>
      <c r="AA42" s="125">
        <f>Valores!$C$25</f>
        <v>1730.69</v>
      </c>
      <c r="AB42" s="214">
        <v>0</v>
      </c>
      <c r="AC42" s="125">
        <f t="shared" si="2"/>
        <v>0</v>
      </c>
      <c r="AD42" s="125">
        <f>Valores!$C$26</f>
        <v>1730.69</v>
      </c>
      <c r="AE42" s="192">
        <v>0</v>
      </c>
      <c r="AF42" s="125">
        <f>ROUND(AE42*Valores!$C$2,2)</f>
        <v>0</v>
      </c>
      <c r="AG42" s="125">
        <f>ROUND(IF($F$4="NO",Valores!$C$64,Valores!$C$64/2),2)</f>
        <v>19786.28</v>
      </c>
      <c r="AH42" s="125">
        <f>SUM(F42,H42,J42,L42,M42,N42,O42,P42,Q42,R42,T42,U42,V42,X42,Y42,Z42,AA42,AC42,AD42,AF42,AG42)*Valores!$C$104</f>
        <v>61822.288</v>
      </c>
      <c r="AI42" s="125">
        <f t="shared" si="3"/>
        <v>680045.1680000001</v>
      </c>
      <c r="AJ42" s="125">
        <f>Valores!$C$32</f>
        <v>70000</v>
      </c>
      <c r="AK42" s="125">
        <v>0</v>
      </c>
      <c r="AL42" s="125">
        <f>Valores!$C$89</f>
        <v>0</v>
      </c>
      <c r="AM42" s="125">
        <f>Valores!C$39*B42</f>
        <v>0</v>
      </c>
      <c r="AN42" s="125">
        <f>IF($F$3="NO",0,Valores!$C$56)</f>
        <v>0</v>
      </c>
      <c r="AO42" s="125">
        <f t="shared" si="4"/>
        <v>70000</v>
      </c>
      <c r="AP42" s="125">
        <f>AI42*Valores!$C$72</f>
        <v>-74804.96848000001</v>
      </c>
      <c r="AQ42" s="125">
        <f>IF(AI42&lt;Valores!$E$73,-0.02,IF(AI42&lt;Valores!$F$73,-0.03,-0.04))*AI42</f>
        <v>-13600.903360000002</v>
      </c>
      <c r="AR42" s="125">
        <f>AI42*Valores!$C$75</f>
        <v>-37402.484240000005</v>
      </c>
      <c r="AS42" s="125">
        <f>Valores!$C$102</f>
        <v>-1270.16</v>
      </c>
      <c r="AT42" s="125">
        <f>IF($F$5=0,Valores!$C$103,(Valores!$C$103+$F$5*(Valores!$C$103)))</f>
        <v>-11714</v>
      </c>
      <c r="AU42" s="125">
        <f t="shared" si="6"/>
        <v>611252.6519200001</v>
      </c>
      <c r="AV42" s="125">
        <f t="shared" si="0"/>
        <v>-74804.96848000001</v>
      </c>
      <c r="AW42" s="125">
        <f t="shared" si="7"/>
        <v>-13600.903360000002</v>
      </c>
      <c r="AX42" s="125">
        <f>AI42*Valores!$C$76</f>
        <v>-18361.219536</v>
      </c>
      <c r="AY42" s="125">
        <f>AI42*Valores!$C$77</f>
        <v>-2040.1355040000003</v>
      </c>
      <c r="AZ42" s="125">
        <f t="shared" si="5"/>
        <v>641237.9411200001</v>
      </c>
      <c r="BA42" s="125">
        <f>AI42*Valores!$C$79</f>
        <v>108807.22688000002</v>
      </c>
      <c r="BB42" s="125">
        <f>AI42*Valores!$C$80</f>
        <v>47603.16176000001</v>
      </c>
      <c r="BC42" s="125">
        <f>AI42*Valores!$C$81</f>
        <v>6800.451680000001</v>
      </c>
      <c r="BD42" s="125">
        <f>AI42*Valores!$C$83</f>
        <v>23801.580880000005</v>
      </c>
      <c r="BE42" s="125">
        <f>AI42*Valores!$C$85</f>
        <v>36722.439072</v>
      </c>
      <c r="BF42" s="125">
        <f>AI42*Valores!$C$84</f>
        <v>4080.2710080000006</v>
      </c>
      <c r="BG42" s="126"/>
      <c r="BH42" s="126">
        <v>45</v>
      </c>
      <c r="BI42" s="123" t="s">
        <v>8</v>
      </c>
    </row>
    <row r="43" spans="1:61" s="110" customFormat="1" ht="11.25" customHeight="1">
      <c r="A43" s="123" t="s">
        <v>174</v>
      </c>
      <c r="B43" s="123">
        <v>1</v>
      </c>
      <c r="C43" s="126">
        <v>36</v>
      </c>
      <c r="D43" s="124" t="s">
        <v>175</v>
      </c>
      <c r="E43" s="192">
        <v>96</v>
      </c>
      <c r="F43" s="125">
        <f>ROUND(E43*Valores!$C$2,2)</f>
        <v>7946.88</v>
      </c>
      <c r="G43" s="192">
        <v>2475</v>
      </c>
      <c r="H43" s="125">
        <f>ROUND(G43*Valores!$C$2,2)</f>
        <v>204880.5</v>
      </c>
      <c r="I43" s="192">
        <v>213</v>
      </c>
      <c r="J43" s="125">
        <f>ROUND(I43*Valores!$C$2,2)</f>
        <v>17632.14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74807.33</v>
      </c>
      <c r="N43" s="125">
        <f t="shared" si="1"/>
        <v>0</v>
      </c>
      <c r="O43" s="125">
        <f>Valores!$C$9</f>
        <v>104016.7</v>
      </c>
      <c r="P43" s="125">
        <f>Valores!$D$5</f>
        <v>42317.14</v>
      </c>
      <c r="Q43" s="125">
        <v>0</v>
      </c>
      <c r="R43" s="125">
        <f>IF($F$4="NO",Valores!$C$45,Valores!$C$45/2)</f>
        <v>29395.49</v>
      </c>
      <c r="S43" s="125">
        <f>Valores!$C$19</f>
        <v>39374.32</v>
      </c>
      <c r="T43" s="125">
        <f t="shared" si="8"/>
        <v>39374.32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Valores!$C$96</f>
        <v>57944.18</v>
      </c>
      <c r="AA43" s="125">
        <f>Valores!$C$25</f>
        <v>1730.69</v>
      </c>
      <c r="AB43" s="214">
        <v>0</v>
      </c>
      <c r="AC43" s="125">
        <f t="shared" si="2"/>
        <v>0</v>
      </c>
      <c r="AD43" s="125">
        <f>Valores!$C$26</f>
        <v>1730.69</v>
      </c>
      <c r="AE43" s="192">
        <v>0</v>
      </c>
      <c r="AF43" s="125">
        <f>ROUND(AE43*Valores!$C$2,2)</f>
        <v>0</v>
      </c>
      <c r="AG43" s="125">
        <f>ROUND(IF($F$4="NO",Valores!$C$64,Valores!$C$64/2),2)</f>
        <v>19786.28</v>
      </c>
      <c r="AH43" s="125">
        <f>SUM(F43,H43,J43,L43,M43,N43,O43,P43,Q43,R43,T43,U43,V43,X43,Y43,Z43,AA43,AC43,AD43,AF43,AG43)*Valores!$C$104</f>
        <v>60156.234</v>
      </c>
      <c r="AI43" s="125">
        <f t="shared" si="3"/>
        <v>661718.574</v>
      </c>
      <c r="AJ43" s="125">
        <f>Valores!$C$31</f>
        <v>35000</v>
      </c>
      <c r="AK43" s="125">
        <v>0</v>
      </c>
      <c r="AL43" s="125">
        <f>Valores!$C$89</f>
        <v>0</v>
      </c>
      <c r="AM43" s="125">
        <f>Valores!C$39*B43</f>
        <v>0</v>
      </c>
      <c r="AN43" s="125">
        <f>IF($F$3="NO",0,Valores!$C$57)</f>
        <v>0</v>
      </c>
      <c r="AO43" s="125">
        <f t="shared" si="4"/>
        <v>35000</v>
      </c>
      <c r="AP43" s="125">
        <f>AI43*Valores!$C$72</f>
        <v>-72789.04314000001</v>
      </c>
      <c r="AQ43" s="125">
        <f>IF(AI43&lt;Valores!$E$73,-0.02,IF(AI43&lt;Valores!$F$73,-0.03,-0.04))*AI43</f>
        <v>-13234.371480000002</v>
      </c>
      <c r="AR43" s="125">
        <f>AI43*Valores!$C$75</f>
        <v>-36394.521570000004</v>
      </c>
      <c r="AS43" s="125">
        <f>Valores!$C$102</f>
        <v>-1270.16</v>
      </c>
      <c r="AT43" s="125">
        <f>IF($F$5=0,Valores!$C$103,(Valores!$C$103+$F$5*(Valores!$C$103)))</f>
        <v>-11714</v>
      </c>
      <c r="AU43" s="125">
        <f t="shared" si="6"/>
        <v>561316.4778100001</v>
      </c>
      <c r="AV43" s="125">
        <f t="shared" si="0"/>
        <v>-72789.04314000001</v>
      </c>
      <c r="AW43" s="125">
        <f t="shared" si="7"/>
        <v>-13234.371480000002</v>
      </c>
      <c r="AX43" s="125">
        <f>AI43*Valores!$C$76</f>
        <v>-17866.401498</v>
      </c>
      <c r="AY43" s="125">
        <f>AI43*Valores!$C$77</f>
        <v>-1985.1557220000002</v>
      </c>
      <c r="AZ43" s="125">
        <f t="shared" si="5"/>
        <v>590843.60216</v>
      </c>
      <c r="BA43" s="125">
        <f>AI43*Valores!$C$79</f>
        <v>105874.97184000001</v>
      </c>
      <c r="BB43" s="125">
        <f>AI43*Valores!$C$80</f>
        <v>46320.300180000006</v>
      </c>
      <c r="BC43" s="125">
        <f>AI43*Valores!$C$81</f>
        <v>6617.185740000001</v>
      </c>
      <c r="BD43" s="125">
        <f>AI43*Valores!$C$83</f>
        <v>23160.150090000003</v>
      </c>
      <c r="BE43" s="125">
        <f>AI43*Valores!$C$85</f>
        <v>35732.802996</v>
      </c>
      <c r="BF43" s="125">
        <f>AI43*Valores!$C$84</f>
        <v>3970.3114440000004</v>
      </c>
      <c r="BG43" s="126"/>
      <c r="BH43" s="126">
        <v>45</v>
      </c>
      <c r="BI43" s="123" t="s">
        <v>4</v>
      </c>
    </row>
    <row r="44" spans="1:61" s="110" customFormat="1" ht="11.25" customHeight="1">
      <c r="A44" s="123" t="s">
        <v>176</v>
      </c>
      <c r="B44" s="123">
        <v>1</v>
      </c>
      <c r="C44" s="126">
        <v>37</v>
      </c>
      <c r="D44" s="124" t="s">
        <v>177</v>
      </c>
      <c r="E44" s="192">
        <v>72</v>
      </c>
      <c r="F44" s="125">
        <f>ROUND(E44*Valores!$C$2,2)</f>
        <v>5960.16</v>
      </c>
      <c r="G44" s="192">
        <v>2471</v>
      </c>
      <c r="H44" s="125">
        <f>ROUND(G44*Valores!$C$2,2)</f>
        <v>204549.38</v>
      </c>
      <c r="I44" s="192">
        <v>199</v>
      </c>
      <c r="J44" s="125">
        <f>ROUND(I44*Valores!$C$2,2)</f>
        <v>16473.22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73938.14</v>
      </c>
      <c r="N44" s="125">
        <f t="shared" si="1"/>
        <v>0</v>
      </c>
      <c r="O44" s="125">
        <f>Valores!$C$9</f>
        <v>104016.7</v>
      </c>
      <c r="P44" s="125">
        <f>Valores!$D$5</f>
        <v>42317.14</v>
      </c>
      <c r="Q44" s="125">
        <v>0</v>
      </c>
      <c r="R44" s="125">
        <f>IF($F$4="NO",Valores!$C$45,Valores!$C$45/2)</f>
        <v>29395.49</v>
      </c>
      <c r="S44" s="125">
        <f>Valores!$C$19</f>
        <v>39374.32</v>
      </c>
      <c r="T44" s="125">
        <f t="shared" si="8"/>
        <v>39374.32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Valores!$C$96</f>
        <v>57944.18</v>
      </c>
      <c r="AA44" s="125">
        <f>Valores!$C$25</f>
        <v>1730.69</v>
      </c>
      <c r="AB44" s="214">
        <v>0</v>
      </c>
      <c r="AC44" s="125">
        <f t="shared" si="2"/>
        <v>0</v>
      </c>
      <c r="AD44" s="125">
        <f>Valores!$C$26</f>
        <v>1730.69</v>
      </c>
      <c r="AE44" s="192">
        <v>0</v>
      </c>
      <c r="AF44" s="125">
        <f>ROUND(AE44*Valores!$C$2,2)</f>
        <v>0</v>
      </c>
      <c r="AG44" s="125">
        <f>ROUND(IF($F$4="NO",Valores!$C$64,Valores!$C$64/2),2)</f>
        <v>19786.28</v>
      </c>
      <c r="AH44" s="125">
        <f>SUM(F44,H44,J44,L44,M44,N44,O44,P44,Q44,R44,T44,U44,V44,X44,Y44,Z44,AA44,AC44,AD44,AF44,AG44)*Valores!$C$104</f>
        <v>59721.639</v>
      </c>
      <c r="AI44" s="125">
        <f t="shared" si="3"/>
        <v>656938.029</v>
      </c>
      <c r="AJ44" s="125">
        <f>Valores!$C$31</f>
        <v>35000</v>
      </c>
      <c r="AK44" s="125">
        <v>0</v>
      </c>
      <c r="AL44" s="125">
        <f>Valores!$C$89</f>
        <v>0</v>
      </c>
      <c r="AM44" s="125">
        <f>Valores!C$39*B44</f>
        <v>0</v>
      </c>
      <c r="AN44" s="125">
        <f>IF($F$3="NO",0,Valores!$C$57)</f>
        <v>0</v>
      </c>
      <c r="AO44" s="125">
        <f t="shared" si="4"/>
        <v>35000</v>
      </c>
      <c r="AP44" s="125">
        <f>AI44*Valores!$C$72</f>
        <v>-72263.18319</v>
      </c>
      <c r="AQ44" s="125">
        <f>IF(AI44&lt;Valores!$E$73,-0.02,IF(AI44&lt;Valores!$F$73,-0.03,-0.04))*AI44</f>
        <v>-13138.76058</v>
      </c>
      <c r="AR44" s="125">
        <f>AI44*Valores!$C$75</f>
        <v>-36131.591595</v>
      </c>
      <c r="AS44" s="125">
        <f>Valores!$C$102</f>
        <v>-1270.16</v>
      </c>
      <c r="AT44" s="125">
        <f>IF($F$5=0,Valores!$C$103,(Valores!$C$103+$F$5*(Valores!$C$103)))</f>
        <v>-11714</v>
      </c>
      <c r="AU44" s="125">
        <f t="shared" si="6"/>
        <v>557420.333635</v>
      </c>
      <c r="AV44" s="125">
        <f t="shared" si="0"/>
        <v>-72263.18319</v>
      </c>
      <c r="AW44" s="125">
        <f t="shared" si="7"/>
        <v>-13138.76058</v>
      </c>
      <c r="AX44" s="125">
        <f>AI44*Valores!$C$76</f>
        <v>-17737.326783</v>
      </c>
      <c r="AY44" s="125">
        <f>AI44*Valores!$C$77</f>
        <v>-1970.814087</v>
      </c>
      <c r="AZ44" s="125">
        <f t="shared" si="5"/>
        <v>586827.94436</v>
      </c>
      <c r="BA44" s="125">
        <f>AI44*Valores!$C$79</f>
        <v>105110.08464</v>
      </c>
      <c r="BB44" s="125">
        <f>AI44*Valores!$C$80</f>
        <v>45985.66203</v>
      </c>
      <c r="BC44" s="125">
        <f>AI44*Valores!$C$81</f>
        <v>6569.38029</v>
      </c>
      <c r="BD44" s="125">
        <f>AI44*Valores!$C$83</f>
        <v>22992.831015</v>
      </c>
      <c r="BE44" s="125">
        <f>AI44*Valores!$C$85</f>
        <v>35474.653566</v>
      </c>
      <c r="BF44" s="125">
        <f>AI44*Valores!$C$84</f>
        <v>3941.628174</v>
      </c>
      <c r="BG44" s="126"/>
      <c r="BH44" s="126">
        <v>45</v>
      </c>
      <c r="BI44" s="123" t="s">
        <v>4</v>
      </c>
    </row>
    <row r="45" spans="1:61" s="110" customFormat="1" ht="11.25" customHeight="1">
      <c r="A45" s="123" t="s">
        <v>178</v>
      </c>
      <c r="B45" s="123">
        <v>1</v>
      </c>
      <c r="C45" s="126">
        <v>38</v>
      </c>
      <c r="D45" s="124" t="s">
        <v>179</v>
      </c>
      <c r="E45" s="192">
        <f>E39</f>
        <v>85</v>
      </c>
      <c r="F45" s="125">
        <f>ROUND(E45*Valores!$C$2,2)</f>
        <v>7036.3</v>
      </c>
      <c r="G45" s="192">
        <f>G39</f>
        <v>3498</v>
      </c>
      <c r="H45" s="125">
        <f>ROUND(G45*Valores!$C$2,2)</f>
        <v>289564.44</v>
      </c>
      <c r="I45" s="192">
        <f>I39</f>
        <v>1209</v>
      </c>
      <c r="J45" s="125">
        <f>ROUND(I45*Valores!$C$2,2)</f>
        <v>100081.02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118018.71</v>
      </c>
      <c r="N45" s="125">
        <f t="shared" si="1"/>
        <v>0</v>
      </c>
      <c r="O45" s="125">
        <f>O39</f>
        <v>187792.57</v>
      </c>
      <c r="P45" s="125">
        <f>Valores!$D$5</f>
        <v>42317.14</v>
      </c>
      <c r="Q45" s="125">
        <v>0</v>
      </c>
      <c r="R45" s="125">
        <f>IF($F$4="NO",Valores!$C$47,Valores!$C$47/2)</f>
        <v>36018.74</v>
      </c>
      <c r="S45" s="125">
        <f>S39</f>
        <v>39374.32</v>
      </c>
      <c r="T45" s="125">
        <f t="shared" si="8"/>
        <v>39374.32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115888.34</v>
      </c>
      <c r="AA45" s="125">
        <f>Valores!$C$25</f>
        <v>1730.69</v>
      </c>
      <c r="AB45" s="214">
        <v>0</v>
      </c>
      <c r="AC45" s="125">
        <f t="shared" si="2"/>
        <v>0</v>
      </c>
      <c r="AD45" s="125">
        <f>Valores!$C$26</f>
        <v>1730.69</v>
      </c>
      <c r="AE45" s="192">
        <v>0</v>
      </c>
      <c r="AF45" s="125">
        <f>ROUND(AE45*Valores!$C$2,2)</f>
        <v>0</v>
      </c>
      <c r="AG45" s="125">
        <f>ROUND(IF($F$4="NO",Valores!$C$64,Valores!$C$64/2),2)</f>
        <v>19786.28</v>
      </c>
      <c r="AH45" s="125">
        <f>SUM(F45,H45,J45,L45,M45,N45,O45,P45,Q45,R45,T45,U45,V45,X45,Y45,Z45,AA45,AC45,AD45,AF45,AG45)*Valores!$C$104</f>
        <v>95933.924</v>
      </c>
      <c r="AI45" s="125">
        <f t="shared" si="3"/>
        <v>1055273.1639999999</v>
      </c>
      <c r="AJ45" s="125">
        <f>AJ39</f>
        <v>70000</v>
      </c>
      <c r="AK45" s="125">
        <v>0</v>
      </c>
      <c r="AL45" s="125">
        <f>AL39</f>
        <v>0</v>
      </c>
      <c r="AM45" s="125">
        <f>Valores!C$39*B45</f>
        <v>0</v>
      </c>
      <c r="AN45" s="125">
        <f>IF($F$3="NO",0,Valores!$C$56)</f>
        <v>0</v>
      </c>
      <c r="AO45" s="125">
        <f t="shared" si="4"/>
        <v>70000</v>
      </c>
      <c r="AP45" s="125">
        <f>AI45*Valores!$C$72</f>
        <v>-116080.04803999998</v>
      </c>
      <c r="AQ45" s="125">
        <f>IF(AI45&lt;Valores!$E$73,-0.02,IF(AI45&lt;Valores!$F$73,-0.03,-0.04))*AI45</f>
        <v>-42210.92655999999</v>
      </c>
      <c r="AR45" s="125">
        <f>AI45*Valores!$C$75</f>
        <v>-58040.02401999999</v>
      </c>
      <c r="AS45" s="125">
        <f>Valores!$C$102</f>
        <v>-1270.16</v>
      </c>
      <c r="AT45" s="125">
        <f>IF($F$5=0,Valores!$C$103,(Valores!$C$103+$F$5*(Valores!$C$103)))</f>
        <v>-11714</v>
      </c>
      <c r="AU45" s="125">
        <f t="shared" si="6"/>
        <v>895958.0053799999</v>
      </c>
      <c r="AV45" s="125">
        <f t="shared" si="0"/>
        <v>-116080.04803999998</v>
      </c>
      <c r="AW45" s="125">
        <f t="shared" si="7"/>
        <v>-42210.92655999999</v>
      </c>
      <c r="AX45" s="125">
        <f>AI45*Valores!$C$76</f>
        <v>-28492.375427999996</v>
      </c>
      <c r="AY45" s="125">
        <f>AI45*Valores!$C$77</f>
        <v>-3165.8194919999996</v>
      </c>
      <c r="AZ45" s="125">
        <f t="shared" si="5"/>
        <v>935323.9944799999</v>
      </c>
      <c r="BA45" s="125">
        <f>AI45*Valores!$C$79</f>
        <v>168843.70623999997</v>
      </c>
      <c r="BB45" s="125">
        <f>AI45*Valores!$C$80</f>
        <v>73869.12148</v>
      </c>
      <c r="BC45" s="125">
        <f>AI45*Valores!$C$81</f>
        <v>10552.731639999998</v>
      </c>
      <c r="BD45" s="125">
        <f>AI45*Valores!$C$83</f>
        <v>36934.56074</v>
      </c>
      <c r="BE45" s="125">
        <f>AI45*Valores!$C$85</f>
        <v>56984.75085599999</v>
      </c>
      <c r="BF45" s="125">
        <f>AI45*Valores!$C$84</f>
        <v>6331.638983999999</v>
      </c>
      <c r="BG45" s="126"/>
      <c r="BH45" s="126">
        <v>45</v>
      </c>
      <c r="BI45" s="123" t="s">
        <v>8</v>
      </c>
    </row>
    <row r="46" spans="1:61" s="110" customFormat="1" ht="11.25" customHeight="1">
      <c r="A46" s="123" t="s">
        <v>180</v>
      </c>
      <c r="B46" s="123">
        <v>1</v>
      </c>
      <c r="C46" s="126">
        <v>39</v>
      </c>
      <c r="D46" s="124" t="s">
        <v>181</v>
      </c>
      <c r="E46" s="192">
        <f>E88+E304</f>
        <v>518</v>
      </c>
      <c r="F46" s="125">
        <f>ROUND(E46*Valores!$C$2,2)</f>
        <v>42880.04</v>
      </c>
      <c r="G46" s="192">
        <f>G88+G304</f>
        <v>1997</v>
      </c>
      <c r="H46" s="125">
        <f>ROUND(G46*Valores!$C$2,2)</f>
        <v>165311.66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71088.69</v>
      </c>
      <c r="N46" s="125">
        <f t="shared" si="1"/>
        <v>0</v>
      </c>
      <c r="O46" s="125">
        <f>O88+O304</f>
        <v>119603.61</v>
      </c>
      <c r="P46" s="125">
        <f>Valores!$D$5</f>
        <v>42317.14</v>
      </c>
      <c r="Q46" s="125">
        <f>Q88+Q304</f>
        <v>37751.3</v>
      </c>
      <c r="R46" s="125">
        <f>R88+R304</f>
        <v>36788.740000000005</v>
      </c>
      <c r="S46" s="125">
        <f>S88+S304</f>
        <v>39374.32</v>
      </c>
      <c r="T46" s="125">
        <f t="shared" si="8"/>
        <v>39374.32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57944.18</v>
      </c>
      <c r="AA46" s="125">
        <f>Valores!$C$25</f>
        <v>1730.69</v>
      </c>
      <c r="AB46" s="214">
        <v>0</v>
      </c>
      <c r="AC46" s="125">
        <f t="shared" si="2"/>
        <v>0</v>
      </c>
      <c r="AD46" s="125">
        <f>Valores!$C$26</f>
        <v>1730.69</v>
      </c>
      <c r="AE46" s="192">
        <v>0</v>
      </c>
      <c r="AF46" s="125">
        <f>ROUND(AE46*Valores!$C$2,2)</f>
        <v>0</v>
      </c>
      <c r="AG46" s="125">
        <f>ROUND(IF($F$4="NO",Valores!$C$64,Valores!$C$64/2),2)</f>
        <v>19786.28</v>
      </c>
      <c r="AH46" s="125">
        <f>SUM(F46,H46,J46,L46,M46,N46,O46,P46,Q46,R46,T46,U46,V46,X46,Y46,Z46,AA46,AC46,AD46,AF46,AG46)*Valores!$C$104</f>
        <v>63630.734</v>
      </c>
      <c r="AI46" s="125">
        <f t="shared" si="3"/>
        <v>699938.074</v>
      </c>
      <c r="AJ46" s="125">
        <f>AJ88+AJ304</f>
        <v>35000</v>
      </c>
      <c r="AK46" s="125">
        <v>0</v>
      </c>
      <c r="AL46" s="125">
        <f>AL88+AL304</f>
        <v>0</v>
      </c>
      <c r="AM46" s="125">
        <f>Valores!C$39*B46</f>
        <v>0</v>
      </c>
      <c r="AN46" s="125">
        <f>IF($F$3="NO",0,Valores!$C$57)</f>
        <v>0</v>
      </c>
      <c r="AO46" s="125">
        <f t="shared" si="4"/>
        <v>35000</v>
      </c>
      <c r="AP46" s="125">
        <f>AI46*Valores!$C$72</f>
        <v>-76993.18814</v>
      </c>
      <c r="AQ46" s="125">
        <f>IF(AI46&lt;Valores!$E$73,-0.02,IF(AI46&lt;Valores!$F$73,-0.03,-0.04))*AI46</f>
        <v>-13998.761480000001</v>
      </c>
      <c r="AR46" s="125">
        <f>AI46*Valores!$C$75</f>
        <v>-38496.59407</v>
      </c>
      <c r="AS46" s="125">
        <f>Valores!$C$102</f>
        <v>-1270.16</v>
      </c>
      <c r="AT46" s="125">
        <f>IF($F$5=0,Valores!$C$103,(Valores!$C$103+$F$5*(Valores!$C$103)))</f>
        <v>-11714</v>
      </c>
      <c r="AU46" s="125">
        <f t="shared" si="6"/>
        <v>592465.37031</v>
      </c>
      <c r="AV46" s="125">
        <f t="shared" si="0"/>
        <v>-76993.18814</v>
      </c>
      <c r="AW46" s="125">
        <f t="shared" si="7"/>
        <v>-13998.761480000001</v>
      </c>
      <c r="AX46" s="125">
        <f>AI46*Valores!$C$76</f>
        <v>-18898.327998</v>
      </c>
      <c r="AY46" s="125">
        <f>AI46*Valores!$C$77</f>
        <v>-2099.814222</v>
      </c>
      <c r="AZ46" s="125">
        <f t="shared" si="5"/>
        <v>622947.98216</v>
      </c>
      <c r="BA46" s="125">
        <f>AI46*Valores!$C$79</f>
        <v>111990.09184000001</v>
      </c>
      <c r="BB46" s="125">
        <f>AI46*Valores!$C$80</f>
        <v>48995.66518</v>
      </c>
      <c r="BC46" s="125">
        <f>AI46*Valores!$C$81</f>
        <v>6999.3807400000005</v>
      </c>
      <c r="BD46" s="125">
        <f>AI46*Valores!$C$83</f>
        <v>24497.83259</v>
      </c>
      <c r="BE46" s="125">
        <f>AI46*Valores!$C$85</f>
        <v>37796.655996</v>
      </c>
      <c r="BF46" s="125">
        <f>AI46*Valores!$C$84</f>
        <v>4199.628444</v>
      </c>
      <c r="BG46" s="126"/>
      <c r="BH46" s="126"/>
      <c r="BI46" s="123" t="s">
        <v>8</v>
      </c>
    </row>
    <row r="47" spans="1:61" s="110" customFormat="1" ht="11.25" customHeight="1">
      <c r="A47" s="123" t="s">
        <v>182</v>
      </c>
      <c r="B47" s="123">
        <v>1</v>
      </c>
      <c r="C47" s="126">
        <v>40</v>
      </c>
      <c r="D47" s="124" t="s">
        <v>183</v>
      </c>
      <c r="E47" s="192">
        <f>E55+E237</f>
        <v>572</v>
      </c>
      <c r="F47" s="125">
        <f>ROUND(E47*Valores!$C$2,2)</f>
        <v>47350.16</v>
      </c>
      <c r="G47" s="192">
        <f>G55+G237</f>
        <v>2686</v>
      </c>
      <c r="H47" s="125">
        <f>ROUND(G47*Valores!$C$2,2)</f>
        <v>222347.08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88569.91</v>
      </c>
      <c r="N47" s="125">
        <f t="shared" si="1"/>
        <v>0</v>
      </c>
      <c r="O47" s="125">
        <f>O55+O237</f>
        <v>120859.6</v>
      </c>
      <c r="P47" s="125">
        <f>Valores!$D$5</f>
        <v>42317.14</v>
      </c>
      <c r="Q47" s="125">
        <f>Q55+Q237</f>
        <v>37751.3</v>
      </c>
      <c r="R47" s="125">
        <f>R55+R237</f>
        <v>39910.79</v>
      </c>
      <c r="S47" s="125">
        <f>S55+S237</f>
        <v>44671.6</v>
      </c>
      <c r="T47" s="125">
        <f t="shared" si="8"/>
        <v>44671.6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85704.62</v>
      </c>
      <c r="AA47" s="125">
        <f>AA55+AA237</f>
        <v>2146.85</v>
      </c>
      <c r="AB47" s="214">
        <v>0</v>
      </c>
      <c r="AC47" s="125">
        <f t="shared" si="2"/>
        <v>0</v>
      </c>
      <c r="AD47" s="125">
        <f>Valores!$C$26</f>
        <v>1730.69</v>
      </c>
      <c r="AE47" s="192">
        <v>0</v>
      </c>
      <c r="AF47" s="125">
        <f>ROUND(AE47*Valores!$C$2,2)</f>
        <v>0</v>
      </c>
      <c r="AG47" s="125">
        <f>AG55+AG237</f>
        <v>27700.769999999997</v>
      </c>
      <c r="AH47" s="125">
        <f>SUM(F47,H47,J47,L47,M47,N47,O47,P47,Q47,R47,T47,U47,V47,X47,Y47,Z47,AA47,AC47,AD47,AF47,AG47)*Valores!$C$104</f>
        <v>76106.051</v>
      </c>
      <c r="AI47" s="125">
        <f t="shared" si="3"/>
        <v>837166.561</v>
      </c>
      <c r="AJ47" s="125">
        <f>AJ55+AJ237</f>
        <v>48999.99999999998</v>
      </c>
      <c r="AK47" s="125">
        <v>0</v>
      </c>
      <c r="AL47" s="125">
        <f>AL55+AL237</f>
        <v>0</v>
      </c>
      <c r="AM47" s="125">
        <f>Valores!C$39*B47</f>
        <v>0</v>
      </c>
      <c r="AN47" s="125">
        <f>IF($F$3="NO",0,Valores!$C$57)</f>
        <v>0</v>
      </c>
      <c r="AO47" s="125">
        <f t="shared" si="4"/>
        <v>48999.99999999998</v>
      </c>
      <c r="AP47" s="125">
        <f>AI47*Valores!$C$72</f>
        <v>-92088.32171</v>
      </c>
      <c r="AQ47" s="125">
        <f>IF(AI47&lt;Valores!$E$73,-0.02,IF(AI47&lt;Valores!$F$73,-0.03,-0.04))*AI47</f>
        <v>-25114.99683</v>
      </c>
      <c r="AR47" s="125">
        <f>AI47*Valores!$C$75</f>
        <v>-46044.160855</v>
      </c>
      <c r="AS47" s="125">
        <f>Valores!$C$102</f>
        <v>-1270.16</v>
      </c>
      <c r="AT47" s="125">
        <f>IF($F$5=0,Valores!$C$103,(Valores!$C$103+$F$5*(Valores!$C$103)))</f>
        <v>-11714</v>
      </c>
      <c r="AU47" s="125">
        <f t="shared" si="6"/>
        <v>709934.9216049999</v>
      </c>
      <c r="AV47" s="125">
        <f t="shared" si="0"/>
        <v>-92088.32171</v>
      </c>
      <c r="AW47" s="125">
        <f t="shared" si="7"/>
        <v>-25114.99683</v>
      </c>
      <c r="AX47" s="125">
        <f>AI47*Valores!$C$76</f>
        <v>-22603.497147</v>
      </c>
      <c r="AY47" s="125">
        <f>AI47*Valores!$C$77</f>
        <v>-2511.499683</v>
      </c>
      <c r="AZ47" s="125">
        <f t="shared" si="5"/>
        <v>743848.24563</v>
      </c>
      <c r="BA47" s="125">
        <f>AI47*Valores!$C$79</f>
        <v>133946.64976</v>
      </c>
      <c r="BB47" s="125">
        <f>AI47*Valores!$C$80</f>
        <v>58601.659270000004</v>
      </c>
      <c r="BC47" s="125">
        <f>AI47*Valores!$C$81</f>
        <v>8371.66561</v>
      </c>
      <c r="BD47" s="125">
        <f>AI47*Valores!$C$83</f>
        <v>29300.829635000002</v>
      </c>
      <c r="BE47" s="125">
        <f>AI47*Valores!$C$85</f>
        <v>45206.994294</v>
      </c>
      <c r="BF47" s="125">
        <f>AI47*Valores!$C$84</f>
        <v>5022.999366</v>
      </c>
      <c r="BG47" s="126"/>
      <c r="BH47" s="126"/>
      <c r="BI47" s="123" t="s">
        <v>8</v>
      </c>
    </row>
    <row r="48" spans="1:61" s="110" customFormat="1" ht="11.25" customHeight="1">
      <c r="A48" s="123" t="s">
        <v>184</v>
      </c>
      <c r="B48" s="123">
        <v>1</v>
      </c>
      <c r="C48" s="126">
        <v>41</v>
      </c>
      <c r="D48" s="124" t="s">
        <v>185</v>
      </c>
      <c r="E48" s="192">
        <v>108</v>
      </c>
      <c r="F48" s="125">
        <f>ROUND(E48*Valores!$C$2,2)</f>
        <v>8940.24</v>
      </c>
      <c r="G48" s="192">
        <v>2907</v>
      </c>
      <c r="H48" s="125">
        <f>ROUND(G48*Valores!$C$2,2)</f>
        <v>240641.46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79998.73</v>
      </c>
      <c r="N48" s="125">
        <f t="shared" si="1"/>
        <v>0</v>
      </c>
      <c r="O48" s="125">
        <f>Valores!$C$9</f>
        <v>104016.7</v>
      </c>
      <c r="P48" s="125">
        <f>Valores!$D$5</f>
        <v>42317.14</v>
      </c>
      <c r="Q48" s="125">
        <f>Valores!$C$22</f>
        <v>37751.3</v>
      </c>
      <c r="R48" s="125">
        <f>IF($F$4="NO",Valores!$C$46,Valores!$C$46/2)</f>
        <v>31038.89</v>
      </c>
      <c r="S48" s="125">
        <f>Valores!$C$19</f>
        <v>39374.32</v>
      </c>
      <c r="T48" s="125">
        <f t="shared" si="8"/>
        <v>39374.32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Valores!$C$97</f>
        <v>69533</v>
      </c>
      <c r="AA48" s="125">
        <f>Valores!$C$25</f>
        <v>1730.69</v>
      </c>
      <c r="AB48" s="214">
        <v>0</v>
      </c>
      <c r="AC48" s="125">
        <f t="shared" si="2"/>
        <v>0</v>
      </c>
      <c r="AD48" s="125">
        <f>Valores!$C$26</f>
        <v>1730.69</v>
      </c>
      <c r="AE48" s="192">
        <v>0</v>
      </c>
      <c r="AF48" s="125">
        <f>ROUND(AE48*Valores!$C$2,2)</f>
        <v>0</v>
      </c>
      <c r="AG48" s="125">
        <f>ROUND(IF($F$4="NO",Valores!$C$64,Valores!$C$64/2),2)</f>
        <v>19786.28</v>
      </c>
      <c r="AH48" s="125">
        <f>SUM(F48,H48,J48,L48,M48,N48,O48,P48,Q48,R48,T48,U48,V48,X48,Y48,Z48,AA48,AC48,AD48,AF48,AG48)*Valores!$C$104</f>
        <v>67685.94399999999</v>
      </c>
      <c r="AI48" s="125">
        <f t="shared" si="3"/>
        <v>744545.3839999998</v>
      </c>
      <c r="AJ48" s="125">
        <f>Valores!$C$31</f>
        <v>35000</v>
      </c>
      <c r="AK48" s="125">
        <v>0</v>
      </c>
      <c r="AL48" s="125">
        <f>Valores!$C$90</f>
        <v>0</v>
      </c>
      <c r="AM48" s="125">
        <f>Valores!C$39*B48</f>
        <v>0</v>
      </c>
      <c r="AN48" s="125">
        <f>IF($F$3="NO",0,Valores!$C$57)</f>
        <v>0</v>
      </c>
      <c r="AO48" s="125">
        <f t="shared" si="4"/>
        <v>35000</v>
      </c>
      <c r="AP48" s="125">
        <f>AI48*Valores!$C$72</f>
        <v>-81899.99223999998</v>
      </c>
      <c r="AQ48" s="125">
        <f>IF(AI48&lt;Valores!$E$73,-0.02,IF(AI48&lt;Valores!$F$73,-0.03,-0.04))*AI48</f>
        <v>-14890.907679999997</v>
      </c>
      <c r="AR48" s="125">
        <f>AI48*Valores!$C$75</f>
        <v>-40949.99611999999</v>
      </c>
      <c r="AS48" s="125">
        <f>Valores!$C$102</f>
        <v>-1270.16</v>
      </c>
      <c r="AT48" s="125">
        <f>IF($F$5=0,Valores!$C$103,(Valores!$C$103+$F$5*(Valores!$C$103)))</f>
        <v>-11714</v>
      </c>
      <c r="AU48" s="125">
        <f t="shared" si="6"/>
        <v>628820.3279599999</v>
      </c>
      <c r="AV48" s="125">
        <f t="shared" si="0"/>
        <v>-81899.99223999998</v>
      </c>
      <c r="AW48" s="125">
        <f t="shared" si="7"/>
        <v>-14890.907679999997</v>
      </c>
      <c r="AX48" s="125">
        <f>AI48*Valores!$C$76</f>
        <v>-20102.725367999996</v>
      </c>
      <c r="AY48" s="125">
        <f>AI48*Valores!$C$77</f>
        <v>-2233.6361519999996</v>
      </c>
      <c r="AZ48" s="125">
        <f t="shared" si="5"/>
        <v>660418.1225599998</v>
      </c>
      <c r="BA48" s="125">
        <f>AI48*Valores!$C$79</f>
        <v>119127.26143999997</v>
      </c>
      <c r="BB48" s="125">
        <f>AI48*Valores!$C$80</f>
        <v>52118.17687999999</v>
      </c>
      <c r="BC48" s="125">
        <f>AI48*Valores!$C$81</f>
        <v>7445.453839999998</v>
      </c>
      <c r="BD48" s="125">
        <f>AI48*Valores!$C$83</f>
        <v>26059.088439999996</v>
      </c>
      <c r="BE48" s="125">
        <f>AI48*Valores!$C$85</f>
        <v>40205.45073599999</v>
      </c>
      <c r="BF48" s="125">
        <f>AI48*Valores!$C$84</f>
        <v>4467.272303999999</v>
      </c>
      <c r="BG48" s="126"/>
      <c r="BH48" s="126">
        <v>30</v>
      </c>
      <c r="BI48" s="123" t="s">
        <v>4</v>
      </c>
    </row>
    <row r="49" spans="1:61" s="110" customFormat="1" ht="11.25" customHeight="1">
      <c r="A49" s="123" t="s">
        <v>186</v>
      </c>
      <c r="B49" s="123">
        <v>1</v>
      </c>
      <c r="C49" s="126">
        <v>42</v>
      </c>
      <c r="D49" s="124" t="s">
        <v>187</v>
      </c>
      <c r="E49" s="192">
        <v>88</v>
      </c>
      <c r="F49" s="125">
        <f>ROUND(E49*Valores!$C$2,2)</f>
        <v>7284.64</v>
      </c>
      <c r="G49" s="192">
        <v>2622</v>
      </c>
      <c r="H49" s="125">
        <f>ROUND(G49*Valores!$C$2,2)</f>
        <v>217049.16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73686.75</v>
      </c>
      <c r="N49" s="125">
        <f t="shared" si="1"/>
        <v>0</v>
      </c>
      <c r="O49" s="125">
        <f>Valores!$C$9</f>
        <v>104016.7</v>
      </c>
      <c r="P49" s="125">
        <f>Valores!$D$5</f>
        <v>42317.14</v>
      </c>
      <c r="Q49" s="125">
        <f>Valores!$C$22</f>
        <v>37751.3</v>
      </c>
      <c r="R49" s="125">
        <f>IF($F$4="NO",Valores!$C$46,Valores!$C$46/2)</f>
        <v>31038.89</v>
      </c>
      <c r="S49" s="125">
        <f>Valores!$C$19</f>
        <v>39374.32</v>
      </c>
      <c r="T49" s="125">
        <f t="shared" si="8"/>
        <v>39374.32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Valores!$C$97</f>
        <v>69533</v>
      </c>
      <c r="AA49" s="125">
        <f>Valores!$C$25</f>
        <v>1730.69</v>
      </c>
      <c r="AB49" s="214">
        <v>0</v>
      </c>
      <c r="AC49" s="125">
        <f t="shared" si="2"/>
        <v>0</v>
      </c>
      <c r="AD49" s="125">
        <f>Valores!$C$26</f>
        <v>1730.69</v>
      </c>
      <c r="AE49" s="192">
        <v>0</v>
      </c>
      <c r="AF49" s="125">
        <f>ROUND(AE49*Valores!$C$2,2)</f>
        <v>0</v>
      </c>
      <c r="AG49" s="125">
        <f>ROUND(IF($F$4="NO",Valores!$C$64,Valores!$C$64/2),2)</f>
        <v>19786.28</v>
      </c>
      <c r="AH49" s="125">
        <f>SUM(F49,H49,J49,L49,M49,N49,O49,P49,Q49,R49,T49,U49,V49,X49,Y49,Z49,AA49,AC49,AD49,AF49,AG49)*Valores!$C$104</f>
        <v>64529.956</v>
      </c>
      <c r="AI49" s="125">
        <f t="shared" si="3"/>
        <v>709829.516</v>
      </c>
      <c r="AJ49" s="125">
        <f>Valores!$C$31</f>
        <v>35000</v>
      </c>
      <c r="AK49" s="125">
        <v>0</v>
      </c>
      <c r="AL49" s="125">
        <f>Valores!$C$90</f>
        <v>0</v>
      </c>
      <c r="AM49" s="125">
        <f>Valores!C$39*B49</f>
        <v>0</v>
      </c>
      <c r="AN49" s="125">
        <f>IF($F$3="NO",0,Valores!$C$57)</f>
        <v>0</v>
      </c>
      <c r="AO49" s="125">
        <f t="shared" si="4"/>
        <v>35000</v>
      </c>
      <c r="AP49" s="125">
        <f>AI49*Valores!$C$72</f>
        <v>-78081.24676</v>
      </c>
      <c r="AQ49" s="125">
        <f>IF(AI49&lt;Valores!$E$73,-0.02,IF(AI49&lt;Valores!$F$73,-0.03,-0.04))*AI49</f>
        <v>-14196.59032</v>
      </c>
      <c r="AR49" s="125">
        <f>AI49*Valores!$C$75</f>
        <v>-39040.62338</v>
      </c>
      <c r="AS49" s="125">
        <f>Valores!$C$102</f>
        <v>-1270.16</v>
      </c>
      <c r="AT49" s="125">
        <f>IF($F$5=0,Valores!$C$103,(Valores!$C$103+$F$5*(Valores!$C$103)))</f>
        <v>-11714</v>
      </c>
      <c r="AU49" s="125">
        <f t="shared" si="6"/>
        <v>600526.8955399999</v>
      </c>
      <c r="AV49" s="125">
        <f t="shared" si="0"/>
        <v>-78081.24676</v>
      </c>
      <c r="AW49" s="125">
        <f t="shared" si="7"/>
        <v>-14196.59032</v>
      </c>
      <c r="AX49" s="125">
        <f>AI49*Valores!$C$76</f>
        <v>-19165.396932</v>
      </c>
      <c r="AY49" s="125">
        <f>AI49*Valores!$C$77</f>
        <v>-2129.488548</v>
      </c>
      <c r="AZ49" s="125">
        <f t="shared" si="5"/>
        <v>631256.7934399999</v>
      </c>
      <c r="BA49" s="125">
        <f>AI49*Valores!$C$79</f>
        <v>113572.72256</v>
      </c>
      <c r="BB49" s="125">
        <f>AI49*Valores!$C$80</f>
        <v>49688.06612</v>
      </c>
      <c r="BC49" s="125">
        <f>AI49*Valores!$C$81</f>
        <v>7098.29516</v>
      </c>
      <c r="BD49" s="125">
        <f>AI49*Valores!$C$83</f>
        <v>24844.03306</v>
      </c>
      <c r="BE49" s="125">
        <f>AI49*Valores!$C$85</f>
        <v>38330.793864</v>
      </c>
      <c r="BF49" s="125">
        <f>AI49*Valores!$C$84</f>
        <v>4258.977096</v>
      </c>
      <c r="BG49" s="126"/>
      <c r="BH49" s="126">
        <v>30</v>
      </c>
      <c r="BI49" s="123" t="s">
        <v>4</v>
      </c>
    </row>
    <row r="50" spans="1:61" s="110" customFormat="1" ht="11.25" customHeight="1">
      <c r="A50" s="123" t="s">
        <v>188</v>
      </c>
      <c r="B50" s="123">
        <v>1</v>
      </c>
      <c r="C50" s="126">
        <v>43</v>
      </c>
      <c r="D50" s="124" t="s">
        <v>189</v>
      </c>
      <c r="E50" s="192">
        <v>88</v>
      </c>
      <c r="F50" s="125">
        <f>ROUND(E50*Valores!$C$2,2)</f>
        <v>7284.64</v>
      </c>
      <c r="G50" s="192">
        <v>2622</v>
      </c>
      <c r="H50" s="125">
        <f>ROUND(G50*Valores!$C$2,2)</f>
        <v>217049.16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73686.75</v>
      </c>
      <c r="N50" s="125">
        <f t="shared" si="1"/>
        <v>0</v>
      </c>
      <c r="O50" s="125">
        <f>Valores!$C$9</f>
        <v>104016.7</v>
      </c>
      <c r="P50" s="125">
        <f>Valores!$D$5</f>
        <v>42317.14</v>
      </c>
      <c r="Q50" s="125">
        <f>Valores!$C$22</f>
        <v>37751.3</v>
      </c>
      <c r="R50" s="125">
        <f>IF($F$4="NO",Valores!$C$46,Valores!$C$46/2)</f>
        <v>31038.89</v>
      </c>
      <c r="S50" s="125">
        <f>Valores!$C$19</f>
        <v>39374.32</v>
      </c>
      <c r="T50" s="125">
        <f t="shared" si="8"/>
        <v>39374.32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Valores!$C$97</f>
        <v>69533</v>
      </c>
      <c r="AA50" s="125">
        <f>Valores!$C$25</f>
        <v>1730.69</v>
      </c>
      <c r="AB50" s="214">
        <v>0</v>
      </c>
      <c r="AC50" s="125">
        <f t="shared" si="2"/>
        <v>0</v>
      </c>
      <c r="AD50" s="125">
        <f>Valores!$C$26</f>
        <v>1730.69</v>
      </c>
      <c r="AE50" s="192">
        <v>0</v>
      </c>
      <c r="AF50" s="125">
        <f>ROUND(AE50*Valores!$C$2,2)</f>
        <v>0</v>
      </c>
      <c r="AG50" s="125">
        <f>ROUND(IF($F$4="NO",Valores!$C$64,Valores!$C$64/2),2)</f>
        <v>19786.28</v>
      </c>
      <c r="AH50" s="125">
        <f>SUM(F50,H50,J50,L50,M50,N50,O50,P50,Q50,R50,T50,U50,V50,X50,Y50,Z50,AA50,AC50,AD50,AF50,AG50)*Valores!$C$104</f>
        <v>64529.956</v>
      </c>
      <c r="AI50" s="125">
        <f t="shared" si="3"/>
        <v>709829.516</v>
      </c>
      <c r="AJ50" s="125">
        <f>Valores!$C$31</f>
        <v>35000</v>
      </c>
      <c r="AK50" s="125">
        <v>0</v>
      </c>
      <c r="AL50" s="125">
        <f>Valores!$C$90</f>
        <v>0</v>
      </c>
      <c r="AM50" s="125">
        <f>Valores!C$39*B50</f>
        <v>0</v>
      </c>
      <c r="AN50" s="125">
        <f>IF($F$3="NO",0,Valores!$C$57)</f>
        <v>0</v>
      </c>
      <c r="AO50" s="125">
        <f t="shared" si="4"/>
        <v>35000</v>
      </c>
      <c r="AP50" s="125">
        <f>AI50*Valores!$C$72</f>
        <v>-78081.24676</v>
      </c>
      <c r="AQ50" s="125">
        <f>IF(AI50&lt;Valores!$E$73,-0.02,IF(AI50&lt;Valores!$F$73,-0.03,-0.04))*AI50</f>
        <v>-14196.59032</v>
      </c>
      <c r="AR50" s="125">
        <f>AI50*Valores!$C$75</f>
        <v>-39040.62338</v>
      </c>
      <c r="AS50" s="125">
        <f>Valores!$C$102</f>
        <v>-1270.16</v>
      </c>
      <c r="AT50" s="125">
        <f>IF($F$5=0,Valores!$C$103,(Valores!$C$103+$F$5*(Valores!$C$103)))</f>
        <v>-11714</v>
      </c>
      <c r="AU50" s="125">
        <f t="shared" si="6"/>
        <v>600526.8955399999</v>
      </c>
      <c r="AV50" s="125">
        <f t="shared" si="0"/>
        <v>-78081.24676</v>
      </c>
      <c r="AW50" s="125">
        <f t="shared" si="7"/>
        <v>-14196.59032</v>
      </c>
      <c r="AX50" s="125">
        <f>AI50*Valores!$C$76</f>
        <v>-19165.396932</v>
      </c>
      <c r="AY50" s="125">
        <f>AI50*Valores!$C$77</f>
        <v>-2129.488548</v>
      </c>
      <c r="AZ50" s="125">
        <f t="shared" si="5"/>
        <v>631256.7934399999</v>
      </c>
      <c r="BA50" s="125">
        <f>AI50*Valores!$C$79</f>
        <v>113572.72256</v>
      </c>
      <c r="BB50" s="125">
        <f>AI50*Valores!$C$80</f>
        <v>49688.06612</v>
      </c>
      <c r="BC50" s="125">
        <f>AI50*Valores!$C$81</f>
        <v>7098.29516</v>
      </c>
      <c r="BD50" s="125">
        <f>AI50*Valores!$C$83</f>
        <v>24844.03306</v>
      </c>
      <c r="BE50" s="125">
        <f>AI50*Valores!$C$85</f>
        <v>38330.793864</v>
      </c>
      <c r="BF50" s="125">
        <f>AI50*Valores!$C$84</f>
        <v>4258.977096</v>
      </c>
      <c r="BG50" s="126"/>
      <c r="BH50" s="126">
        <v>30</v>
      </c>
      <c r="BI50" s="123" t="s">
        <v>4</v>
      </c>
    </row>
    <row r="51" spans="1:61" s="110" customFormat="1" ht="11.25" customHeight="1">
      <c r="A51" s="123" t="s">
        <v>190</v>
      </c>
      <c r="B51" s="123">
        <v>1</v>
      </c>
      <c r="C51" s="126">
        <v>44</v>
      </c>
      <c r="D51" s="124" t="s">
        <v>191</v>
      </c>
      <c r="E51" s="192">
        <v>80</v>
      </c>
      <c r="F51" s="125">
        <f>ROUND(E51*Valores!$C$2,2)</f>
        <v>6622.4</v>
      </c>
      <c r="G51" s="192">
        <v>2278</v>
      </c>
      <c r="H51" s="125">
        <f>ROUND(G51*Valores!$C$2,2)</f>
        <v>188572.84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66402.11</v>
      </c>
      <c r="N51" s="125">
        <f t="shared" si="1"/>
        <v>0</v>
      </c>
      <c r="O51" s="125">
        <f>Valores!$C$9</f>
        <v>104016.7</v>
      </c>
      <c r="P51" s="125">
        <f>Valores!$D$5</f>
        <v>42317.14</v>
      </c>
      <c r="Q51" s="125">
        <f>Valores!$C$22</f>
        <v>37751.3</v>
      </c>
      <c r="R51" s="125">
        <f>IF($F$4="NO",Valores!$C$46,Valores!$C$46/2)</f>
        <v>31038.89</v>
      </c>
      <c r="S51" s="125">
        <f>Valores!$C$19</f>
        <v>39374.32</v>
      </c>
      <c r="T51" s="125">
        <f t="shared" si="8"/>
        <v>39374.32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Valores!$C$97</f>
        <v>69533</v>
      </c>
      <c r="AA51" s="125">
        <f>Valores!$C$25</f>
        <v>1730.69</v>
      </c>
      <c r="AB51" s="214">
        <v>0</v>
      </c>
      <c r="AC51" s="125">
        <f t="shared" si="2"/>
        <v>0</v>
      </c>
      <c r="AD51" s="125">
        <f>Valores!$C$26</f>
        <v>1730.69</v>
      </c>
      <c r="AE51" s="192">
        <v>0</v>
      </c>
      <c r="AF51" s="125">
        <f>ROUND(AE51*Valores!$C$2,2)</f>
        <v>0</v>
      </c>
      <c r="AG51" s="125">
        <f>ROUND(IF($F$4="NO",Valores!$C$64,Valores!$C$64/2),2)</f>
        <v>19786.28</v>
      </c>
      <c r="AH51" s="125">
        <f>SUM(F51,H51,J51,L51,M51,N51,O51,P51,Q51,R51,T51,U51,V51,X51,Y51,Z51,AA51,AC51,AD51,AF51,AG51)*Valores!$C$104</f>
        <v>60887.63599999999</v>
      </c>
      <c r="AI51" s="125">
        <f t="shared" si="3"/>
        <v>669763.9959999998</v>
      </c>
      <c r="AJ51" s="125">
        <f>Valores!$C$31</f>
        <v>35000</v>
      </c>
      <c r="AK51" s="125">
        <v>0</v>
      </c>
      <c r="AL51" s="125">
        <f>Valores!$C$90</f>
        <v>0</v>
      </c>
      <c r="AM51" s="125">
        <f>Valores!C$39*B51</f>
        <v>0</v>
      </c>
      <c r="AN51" s="125">
        <f>IF($F$3="NO",0,Valores!$C$57)</f>
        <v>0</v>
      </c>
      <c r="AO51" s="125">
        <f t="shared" si="4"/>
        <v>35000</v>
      </c>
      <c r="AP51" s="125">
        <f>AI51*Valores!$C$72</f>
        <v>-73674.03955999998</v>
      </c>
      <c r="AQ51" s="125">
        <f>IF(AI51&lt;Valores!$E$73,-0.02,IF(AI51&lt;Valores!$F$73,-0.03,-0.04))*AI51</f>
        <v>-13395.279919999997</v>
      </c>
      <c r="AR51" s="125">
        <f>AI51*Valores!$C$75</f>
        <v>-36837.01977999999</v>
      </c>
      <c r="AS51" s="125">
        <f>Valores!$C$102</f>
        <v>-1270.16</v>
      </c>
      <c r="AT51" s="125">
        <f>IF($F$5=0,Valores!$C$103,(Valores!$C$103+$F$5*(Valores!$C$103)))</f>
        <v>-11714</v>
      </c>
      <c r="AU51" s="125">
        <f t="shared" si="6"/>
        <v>567873.4967399999</v>
      </c>
      <c r="AV51" s="125">
        <f t="shared" si="0"/>
        <v>-73674.03955999998</v>
      </c>
      <c r="AW51" s="125">
        <f t="shared" si="7"/>
        <v>-13395.279919999997</v>
      </c>
      <c r="AX51" s="125">
        <f>AI51*Valores!$C$76</f>
        <v>-18083.627891999993</v>
      </c>
      <c r="AY51" s="125">
        <f>AI51*Valores!$C$77</f>
        <v>-2009.2919879999995</v>
      </c>
      <c r="AZ51" s="125">
        <f t="shared" si="5"/>
        <v>597601.7566399998</v>
      </c>
      <c r="BA51" s="125">
        <f>AI51*Valores!$C$79</f>
        <v>107162.23935999998</v>
      </c>
      <c r="BB51" s="125">
        <f>AI51*Valores!$C$80</f>
        <v>46883.47971999999</v>
      </c>
      <c r="BC51" s="125">
        <f>AI51*Valores!$C$81</f>
        <v>6697.639959999999</v>
      </c>
      <c r="BD51" s="125">
        <f>AI51*Valores!$C$83</f>
        <v>23441.739859999994</v>
      </c>
      <c r="BE51" s="125">
        <f>AI51*Valores!$C$85</f>
        <v>36167.255783999986</v>
      </c>
      <c r="BF51" s="125">
        <f>AI51*Valores!$C$84</f>
        <v>4018.583975999999</v>
      </c>
      <c r="BG51" s="126"/>
      <c r="BH51" s="126">
        <v>30</v>
      </c>
      <c r="BI51" s="123" t="s">
        <v>4</v>
      </c>
    </row>
    <row r="52" spans="1:61" s="110" customFormat="1" ht="11.25" customHeight="1">
      <c r="A52" s="123" t="s">
        <v>192</v>
      </c>
      <c r="B52" s="123">
        <v>1</v>
      </c>
      <c r="C52" s="126">
        <v>45</v>
      </c>
      <c r="D52" s="124" t="s">
        <v>193</v>
      </c>
      <c r="E52" s="192">
        <v>100</v>
      </c>
      <c r="F52" s="125">
        <f>ROUND(E52*Valores!$C$2,2)</f>
        <v>8278</v>
      </c>
      <c r="G52" s="192">
        <v>3620</v>
      </c>
      <c r="H52" s="125">
        <f>ROUND(G52*Valores!$C$2,2)</f>
        <v>299663.6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97887.92</v>
      </c>
      <c r="N52" s="125">
        <f t="shared" si="1"/>
        <v>0</v>
      </c>
      <c r="O52" s="125">
        <f>Valores!$C$9</f>
        <v>104016.7</v>
      </c>
      <c r="P52" s="125">
        <f>Valores!$D$5</f>
        <v>42317.14</v>
      </c>
      <c r="Q52" s="125">
        <f>Valores!$C$22</f>
        <v>37751.3</v>
      </c>
      <c r="R52" s="125">
        <f>IF($F$4="NO",Valores!$C$48,Valores!$C$48/2)</f>
        <v>44235.76</v>
      </c>
      <c r="S52" s="125">
        <f>Valores!$C$19</f>
        <v>39374.32</v>
      </c>
      <c r="T52" s="125">
        <f t="shared" si="8"/>
        <v>39374.32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Valores!$C$98</f>
        <v>115888.34</v>
      </c>
      <c r="AA52" s="125">
        <f>Valores!$C$25</f>
        <v>1730.69</v>
      </c>
      <c r="AB52" s="214">
        <v>0</v>
      </c>
      <c r="AC52" s="125">
        <f t="shared" si="2"/>
        <v>0</v>
      </c>
      <c r="AD52" s="125">
        <f>Valores!$C$26</f>
        <v>1730.69</v>
      </c>
      <c r="AE52" s="192">
        <v>0</v>
      </c>
      <c r="AF52" s="125">
        <f>ROUND(AE52*Valores!$C$2,2)</f>
        <v>0</v>
      </c>
      <c r="AG52" s="125">
        <f>ROUND(IF($F$4="NO",Valores!$C$64,Valores!$C$64/2),2)</f>
        <v>19786.28</v>
      </c>
      <c r="AH52" s="125">
        <f>SUM(F52,H52,J52,L52,M52,N52,O52,P52,Q52,R52,T52,U52,V52,X52,Y52,Z52,AA52,AC52,AD52,AF52,AG52)*Valores!$C$104</f>
        <v>81266.074</v>
      </c>
      <c r="AI52" s="125">
        <f t="shared" si="3"/>
        <v>893926.8139999999</v>
      </c>
      <c r="AJ52" s="125">
        <f>Valores!$C$32</f>
        <v>70000</v>
      </c>
      <c r="AK52" s="125">
        <v>0</v>
      </c>
      <c r="AL52" s="125">
        <f>Valores!$C$91</f>
        <v>0</v>
      </c>
      <c r="AM52" s="125">
        <f>Valores!C$39*B52</f>
        <v>0</v>
      </c>
      <c r="AN52" s="125">
        <f>IF($F$3="NO",0,Valores!$C$57)</f>
        <v>0</v>
      </c>
      <c r="AO52" s="125">
        <f t="shared" si="4"/>
        <v>70000</v>
      </c>
      <c r="AP52" s="125">
        <f>AI52*Valores!$C$72</f>
        <v>-98331.94953999999</v>
      </c>
      <c r="AQ52" s="125">
        <f>IF(AI52&lt;Valores!$E$73,-0.02,IF(AI52&lt;Valores!$F$73,-0.03,-0.04))*AI52</f>
        <v>-26817.804419999997</v>
      </c>
      <c r="AR52" s="125">
        <f>AI52*Valores!$C$75</f>
        <v>-49165.97476999999</v>
      </c>
      <c r="AS52" s="125">
        <f>Valores!$C$102</f>
        <v>-1270.16</v>
      </c>
      <c r="AT52" s="125">
        <f>IF($F$5=0,Valores!$C$103,(Valores!$C$103+$F$5*(Valores!$C$103)))</f>
        <v>-11714</v>
      </c>
      <c r="AU52" s="125">
        <f t="shared" si="6"/>
        <v>776626.9252699999</v>
      </c>
      <c r="AV52" s="125">
        <f t="shared" si="0"/>
        <v>-98331.94953999999</v>
      </c>
      <c r="AW52" s="125">
        <f t="shared" si="7"/>
        <v>-26817.804419999997</v>
      </c>
      <c r="AX52" s="125">
        <f>AI52*Valores!$C$76</f>
        <v>-24136.023977999997</v>
      </c>
      <c r="AY52" s="125">
        <f>AI52*Valores!$C$77</f>
        <v>-2681.7804419999998</v>
      </c>
      <c r="AZ52" s="125">
        <f t="shared" si="5"/>
        <v>811959.25562</v>
      </c>
      <c r="BA52" s="125">
        <f>AI52*Valores!$C$79</f>
        <v>143028.29023999997</v>
      </c>
      <c r="BB52" s="125">
        <f>AI52*Valores!$C$80</f>
        <v>62574.87698</v>
      </c>
      <c r="BC52" s="125">
        <f>AI52*Valores!$C$81</f>
        <v>8939.268139999998</v>
      </c>
      <c r="BD52" s="125">
        <f>AI52*Valores!$C$83</f>
        <v>31287.43849</v>
      </c>
      <c r="BE52" s="125">
        <f>AI52*Valores!$C$85</f>
        <v>48272.047955999995</v>
      </c>
      <c r="BF52" s="125">
        <f>AI52*Valores!$C$84</f>
        <v>5363.5608839999995</v>
      </c>
      <c r="BG52" s="126"/>
      <c r="BH52" s="126"/>
      <c r="BI52" s="123" t="s">
        <v>4</v>
      </c>
    </row>
    <row r="53" spans="1:61" s="110" customFormat="1" ht="11.25" customHeight="1">
      <c r="A53" s="123" t="s">
        <v>194</v>
      </c>
      <c r="B53" s="123">
        <v>1</v>
      </c>
      <c r="C53" s="126">
        <v>46</v>
      </c>
      <c r="D53" s="124" t="s">
        <v>195</v>
      </c>
      <c r="E53" s="192">
        <v>100</v>
      </c>
      <c r="F53" s="125">
        <f>ROUND(E53*Valores!$C$2,2)</f>
        <v>8278</v>
      </c>
      <c r="G53" s="192">
        <v>3560</v>
      </c>
      <c r="H53" s="125">
        <f>ROUND(G53*Valores!$C$2,2)</f>
        <v>294696.8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96646.22</v>
      </c>
      <c r="N53" s="125">
        <f t="shared" si="1"/>
        <v>0</v>
      </c>
      <c r="O53" s="125">
        <f>Valores!$C$9</f>
        <v>104016.7</v>
      </c>
      <c r="P53" s="125">
        <f>Valores!$D$5</f>
        <v>42317.14</v>
      </c>
      <c r="Q53" s="125">
        <v>0</v>
      </c>
      <c r="R53" s="125">
        <f>IF($F$4="NO",Valores!$C$48,Valores!$C$48/2)</f>
        <v>44235.76</v>
      </c>
      <c r="S53" s="125">
        <f>Valores!$C$19</f>
        <v>39374.32</v>
      </c>
      <c r="T53" s="125">
        <f t="shared" si="8"/>
        <v>39374.32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Valores!$C$98</f>
        <v>115888.34</v>
      </c>
      <c r="AA53" s="125">
        <f>Valores!$C$25</f>
        <v>1730.69</v>
      </c>
      <c r="AB53" s="214">
        <v>0</v>
      </c>
      <c r="AC53" s="125">
        <f t="shared" si="2"/>
        <v>0</v>
      </c>
      <c r="AD53" s="125">
        <f>Valores!$C$26</f>
        <v>1730.69</v>
      </c>
      <c r="AE53" s="192">
        <v>0</v>
      </c>
      <c r="AF53" s="125">
        <f>ROUND(AE53*Valores!$C$2,2)</f>
        <v>0</v>
      </c>
      <c r="AG53" s="125">
        <f>ROUND(IF($F$4="NO",Valores!$C$64,Valores!$C$64/2),2)</f>
        <v>19786.28</v>
      </c>
      <c r="AH53" s="125">
        <f>SUM(F53,H53,J53,L53,M53,N53,O53,P53,Q53,R53,T53,U53,V53,X53,Y53,Z53,AA53,AC53,AD53,AF53,AG53)*Valores!$C$104</f>
        <v>76870.09399999998</v>
      </c>
      <c r="AI53" s="125">
        <f t="shared" si="3"/>
        <v>845571.0339999998</v>
      </c>
      <c r="AJ53" s="125">
        <f>Valores!$C$31</f>
        <v>35000</v>
      </c>
      <c r="AK53" s="125">
        <v>0</v>
      </c>
      <c r="AL53" s="125">
        <f>Valores!$C$91</f>
        <v>0</v>
      </c>
      <c r="AM53" s="125">
        <f>Valores!C$39*B53</f>
        <v>0</v>
      </c>
      <c r="AN53" s="125">
        <f>IF($F$3="NO",0,Valores!$C$57)</f>
        <v>0</v>
      </c>
      <c r="AO53" s="125">
        <f t="shared" si="4"/>
        <v>35000</v>
      </c>
      <c r="AP53" s="125">
        <f>AI53*Valores!$C$72</f>
        <v>-93012.81373999997</v>
      </c>
      <c r="AQ53" s="125">
        <f>IF(AI53&lt;Valores!$E$73,-0.02,IF(AI53&lt;Valores!$F$73,-0.03,-0.04))*AI53</f>
        <v>-25367.131019999993</v>
      </c>
      <c r="AR53" s="125">
        <f>AI53*Valores!$C$75</f>
        <v>-46506.406869999984</v>
      </c>
      <c r="AS53" s="125">
        <f>Valores!$C$102</f>
        <v>-1270.16</v>
      </c>
      <c r="AT53" s="125">
        <f>IF($F$5=0,Valores!$C$103,(Valores!$C$103+$F$5*(Valores!$C$103)))</f>
        <v>-11714</v>
      </c>
      <c r="AU53" s="125">
        <f t="shared" si="6"/>
        <v>702700.5223699998</v>
      </c>
      <c r="AV53" s="125">
        <f t="shared" si="0"/>
        <v>-93012.81373999997</v>
      </c>
      <c r="AW53" s="125">
        <f t="shared" si="7"/>
        <v>-25367.131019999993</v>
      </c>
      <c r="AX53" s="125">
        <f>AI53*Valores!$C$76</f>
        <v>-22830.417917999992</v>
      </c>
      <c r="AY53" s="125">
        <f>AI53*Valores!$C$77</f>
        <v>-2536.7131019999993</v>
      </c>
      <c r="AZ53" s="125">
        <f t="shared" si="5"/>
        <v>736823.9582199998</v>
      </c>
      <c r="BA53" s="125">
        <f>AI53*Valores!$C$79</f>
        <v>135291.36543999997</v>
      </c>
      <c r="BB53" s="125">
        <f>AI53*Valores!$C$80</f>
        <v>59189.972379999985</v>
      </c>
      <c r="BC53" s="125">
        <f>AI53*Valores!$C$81</f>
        <v>8455.710339999998</v>
      </c>
      <c r="BD53" s="125">
        <f>AI53*Valores!$C$83</f>
        <v>29594.986189999992</v>
      </c>
      <c r="BE53" s="125">
        <f>AI53*Valores!$C$85</f>
        <v>45660.835835999984</v>
      </c>
      <c r="BF53" s="125">
        <f>AI53*Valores!$C$84</f>
        <v>5073.4262039999985</v>
      </c>
      <c r="BG53" s="126"/>
      <c r="BH53" s="126"/>
      <c r="BI53" s="123" t="s">
        <v>8</v>
      </c>
    </row>
    <row r="54" spans="1:61" s="110" customFormat="1" ht="11.25" customHeight="1">
      <c r="A54" s="123" t="s">
        <v>196</v>
      </c>
      <c r="B54" s="123">
        <v>1</v>
      </c>
      <c r="C54" s="126">
        <v>47</v>
      </c>
      <c r="D54" s="124" t="s">
        <v>197</v>
      </c>
      <c r="E54" s="192">
        <v>100</v>
      </c>
      <c r="F54" s="125">
        <f>ROUND(E54*Valores!$C$2,2)</f>
        <v>8278</v>
      </c>
      <c r="G54" s="192">
        <v>3360</v>
      </c>
      <c r="H54" s="125">
        <f>ROUND(G54*Valores!$C$2,2)</f>
        <v>278140.8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92507.22</v>
      </c>
      <c r="N54" s="125">
        <f t="shared" si="1"/>
        <v>0</v>
      </c>
      <c r="O54" s="125">
        <f>Valores!$C$9</f>
        <v>104016.7</v>
      </c>
      <c r="P54" s="125">
        <f>Valores!$D$5</f>
        <v>42317.14</v>
      </c>
      <c r="Q54" s="125">
        <f>Valores!$C$22</f>
        <v>37751.3</v>
      </c>
      <c r="R54" s="125">
        <f>IF($F$4="NO",Valores!$C$48,Valores!$C$48/2)</f>
        <v>44235.76</v>
      </c>
      <c r="S54" s="125">
        <f>Valores!$C$19</f>
        <v>39374.32</v>
      </c>
      <c r="T54" s="125">
        <f t="shared" si="8"/>
        <v>39374.32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Valores!$C$98</f>
        <v>115888.34</v>
      </c>
      <c r="AA54" s="125">
        <f>Valores!$C$25</f>
        <v>1730.69</v>
      </c>
      <c r="AB54" s="214">
        <v>0</v>
      </c>
      <c r="AC54" s="125">
        <f t="shared" si="2"/>
        <v>0</v>
      </c>
      <c r="AD54" s="125">
        <f>Valores!$C$26</f>
        <v>1730.69</v>
      </c>
      <c r="AE54" s="192">
        <v>0</v>
      </c>
      <c r="AF54" s="125">
        <f>ROUND(AE54*Valores!$C$2,2)</f>
        <v>0</v>
      </c>
      <c r="AG54" s="125">
        <f>ROUND(IF($F$4="NO",Valores!$C$64,Valores!$C$64/2),2)</f>
        <v>19786.28</v>
      </c>
      <c r="AH54" s="125">
        <f>SUM(F54,H54,J54,L54,M54,N54,O54,P54,Q54,R54,T54,U54,V54,X54,Y54,Z54,AA54,AC54,AD54,AF54,AG54)*Valores!$C$104</f>
        <v>78575.72399999999</v>
      </c>
      <c r="AI54" s="125">
        <f t="shared" si="3"/>
        <v>864332.9639999999</v>
      </c>
      <c r="AJ54" s="125">
        <f>Valores!$C$31</f>
        <v>35000</v>
      </c>
      <c r="AK54" s="125">
        <v>0</v>
      </c>
      <c r="AL54" s="125">
        <f>Valores!$C$91</f>
        <v>0</v>
      </c>
      <c r="AM54" s="125">
        <f>Valores!C$39*B54</f>
        <v>0</v>
      </c>
      <c r="AN54" s="125">
        <f>IF($F$3="NO",0,Valores!$C$57)</f>
        <v>0</v>
      </c>
      <c r="AO54" s="125">
        <f t="shared" si="4"/>
        <v>35000</v>
      </c>
      <c r="AP54" s="125">
        <f>AI54*Valores!$C$72</f>
        <v>-95076.62603999999</v>
      </c>
      <c r="AQ54" s="125">
        <f>IF(AI54&lt;Valores!$E$73,-0.02,IF(AI54&lt;Valores!$F$73,-0.03,-0.04))*AI54</f>
        <v>-25929.988919999996</v>
      </c>
      <c r="AR54" s="125">
        <f>AI54*Valores!$C$75</f>
        <v>-47538.313019999994</v>
      </c>
      <c r="AS54" s="125">
        <f>Valores!$C$102</f>
        <v>-1270.16</v>
      </c>
      <c r="AT54" s="125">
        <f>IF($F$5=0,Valores!$C$103,(Valores!$C$103+$F$5*(Valores!$C$103)))</f>
        <v>-11714</v>
      </c>
      <c r="AU54" s="125">
        <f t="shared" si="6"/>
        <v>717803.87602</v>
      </c>
      <c r="AV54" s="125">
        <f t="shared" si="0"/>
        <v>-95076.62603999999</v>
      </c>
      <c r="AW54" s="125">
        <f t="shared" si="7"/>
        <v>-25929.988919999996</v>
      </c>
      <c r="AX54" s="125">
        <f>AI54*Valores!$C$76</f>
        <v>-23336.990027999997</v>
      </c>
      <c r="AY54" s="125">
        <f>AI54*Valores!$C$77</f>
        <v>-2592.9988919999996</v>
      </c>
      <c r="AZ54" s="125">
        <f t="shared" si="5"/>
        <v>752396.36012</v>
      </c>
      <c r="BA54" s="125">
        <f>AI54*Valores!$C$79</f>
        <v>138293.27424</v>
      </c>
      <c r="BB54" s="125">
        <f>AI54*Valores!$C$80</f>
        <v>60503.30748</v>
      </c>
      <c r="BC54" s="125">
        <f>AI54*Valores!$C$81</f>
        <v>8643.32964</v>
      </c>
      <c r="BD54" s="125">
        <f>AI54*Valores!$C$83</f>
        <v>30251.65374</v>
      </c>
      <c r="BE54" s="125">
        <f>AI54*Valores!$C$85</f>
        <v>46673.98005599999</v>
      </c>
      <c r="BF54" s="125">
        <f>AI54*Valores!$C$84</f>
        <v>5185.997783999999</v>
      </c>
      <c r="BG54" s="126"/>
      <c r="BH54" s="126"/>
      <c r="BI54" s="123" t="s">
        <v>4</v>
      </c>
    </row>
    <row r="55" spans="1:61" s="110" customFormat="1" ht="11.25" customHeight="1">
      <c r="A55" s="123" t="s">
        <v>198</v>
      </c>
      <c r="B55" s="123">
        <v>1</v>
      </c>
      <c r="C55" s="126">
        <v>48</v>
      </c>
      <c r="D55" s="124" t="s">
        <v>199</v>
      </c>
      <c r="E55" s="192">
        <v>98</v>
      </c>
      <c r="F55" s="125">
        <f>ROUND(E55*Valores!$C$2,2)</f>
        <v>8112.44</v>
      </c>
      <c r="G55" s="192">
        <v>2686</v>
      </c>
      <c r="H55" s="125">
        <f>ROUND(G55*Valores!$C$2,2)</f>
        <v>222347.08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75218.18</v>
      </c>
      <c r="N55" s="125">
        <f t="shared" si="1"/>
        <v>0</v>
      </c>
      <c r="O55" s="125">
        <f>Valores!$C$9</f>
        <v>104016.7</v>
      </c>
      <c r="P55" s="125">
        <f>Valores!$D$5</f>
        <v>42317.14</v>
      </c>
      <c r="Q55" s="125">
        <f>Valores!$C$22</f>
        <v>37751.3</v>
      </c>
      <c r="R55" s="125">
        <f>IF($F$4="NO",Valores!$C$46,Valores!$C$46/2)</f>
        <v>31038.89</v>
      </c>
      <c r="S55" s="125">
        <f>Valores!$C$19</f>
        <v>39374.32</v>
      </c>
      <c r="T55" s="125">
        <f t="shared" si="8"/>
        <v>39374.32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Valores!$C$97</f>
        <v>69533</v>
      </c>
      <c r="AA55" s="125">
        <f>Valores!$C$25</f>
        <v>1730.69</v>
      </c>
      <c r="AB55" s="214">
        <v>0</v>
      </c>
      <c r="AC55" s="125">
        <f t="shared" si="2"/>
        <v>0</v>
      </c>
      <c r="AD55" s="125">
        <f>Valores!$C$26</f>
        <v>1730.69</v>
      </c>
      <c r="AE55" s="192">
        <v>0</v>
      </c>
      <c r="AF55" s="125">
        <f>ROUND(AE55*Valores!$C$2,2)</f>
        <v>0</v>
      </c>
      <c r="AG55" s="125">
        <f>ROUND(IF($F$4="NO",Valores!$C$64,Valores!$C$64/2),2)</f>
        <v>19786.28</v>
      </c>
      <c r="AH55" s="125">
        <f>SUM(F55,H55,J55,L55,M55,N55,O55,P55,Q55,R55,T55,U55,V55,X55,Y55,Z55,AA55,AC55,AD55,AF55,AG55)*Valores!$C$104</f>
        <v>65295.67099999999</v>
      </c>
      <c r="AI55" s="125">
        <f t="shared" si="3"/>
        <v>718252.3809999998</v>
      </c>
      <c r="AJ55" s="125">
        <f>Valores!$C$31</f>
        <v>35000</v>
      </c>
      <c r="AK55" s="125">
        <v>0</v>
      </c>
      <c r="AL55" s="125">
        <f>Valores!$C$90</f>
        <v>0</v>
      </c>
      <c r="AM55" s="125">
        <f>Valores!C$39*B55</f>
        <v>0</v>
      </c>
      <c r="AN55" s="125">
        <f>IF($F$3="NO",0,Valores!$C$57)</f>
        <v>0</v>
      </c>
      <c r="AO55" s="125">
        <f t="shared" si="4"/>
        <v>35000</v>
      </c>
      <c r="AP55" s="125">
        <f>AI55*Valores!$C$72</f>
        <v>-79007.76190999999</v>
      </c>
      <c r="AQ55" s="125">
        <f>IF(AI55&lt;Valores!$E$73,-0.02,IF(AI55&lt;Valores!$F$73,-0.03,-0.04))*AI55</f>
        <v>-14365.047619999998</v>
      </c>
      <c r="AR55" s="125">
        <f>AI55*Valores!$C$75</f>
        <v>-39503.88095499999</v>
      </c>
      <c r="AS55" s="125">
        <f>Valores!$C$102</f>
        <v>-1270.16</v>
      </c>
      <c r="AT55" s="125">
        <f>IF($F$5=0,Valores!$C$103,(Valores!$C$103+$F$5*(Valores!$C$103)))</f>
        <v>-11714</v>
      </c>
      <c r="AU55" s="125">
        <f t="shared" si="6"/>
        <v>607391.5305149999</v>
      </c>
      <c r="AV55" s="125">
        <f t="shared" si="0"/>
        <v>-79007.76190999999</v>
      </c>
      <c r="AW55" s="125">
        <f t="shared" si="7"/>
        <v>-14365.047619999998</v>
      </c>
      <c r="AX55" s="125">
        <f>AI55*Valores!$C$76</f>
        <v>-19392.814286999994</v>
      </c>
      <c r="AY55" s="125">
        <f>AI55*Valores!$C$77</f>
        <v>-2154.7571429999994</v>
      </c>
      <c r="AZ55" s="125">
        <f t="shared" si="5"/>
        <v>638332.0000399998</v>
      </c>
      <c r="BA55" s="125">
        <f>AI55*Valores!$C$79</f>
        <v>114920.38095999998</v>
      </c>
      <c r="BB55" s="125">
        <f>AI55*Valores!$C$80</f>
        <v>50277.66666999999</v>
      </c>
      <c r="BC55" s="125">
        <f>AI55*Valores!$C$81</f>
        <v>7182.523809999999</v>
      </c>
      <c r="BD55" s="125">
        <f>AI55*Valores!$C$83</f>
        <v>25138.833334999996</v>
      </c>
      <c r="BE55" s="125">
        <f>AI55*Valores!$C$85</f>
        <v>38785.62857399999</v>
      </c>
      <c r="BF55" s="125">
        <f>AI55*Valores!$C$84</f>
        <v>4309.514285999999</v>
      </c>
      <c r="BG55" s="126"/>
      <c r="BH55" s="126">
        <v>30</v>
      </c>
      <c r="BI55" s="123" t="s">
        <v>4</v>
      </c>
    </row>
    <row r="56" spans="1:61" s="110" customFormat="1" ht="11.25" customHeight="1">
      <c r="A56" s="123" t="s">
        <v>200</v>
      </c>
      <c r="B56" s="123">
        <v>1</v>
      </c>
      <c r="C56" s="126">
        <v>49</v>
      </c>
      <c r="D56" s="124" t="s">
        <v>201</v>
      </c>
      <c r="E56" s="192">
        <v>94</v>
      </c>
      <c r="F56" s="125">
        <f>ROUND(E56*Valores!$C$2,2)</f>
        <v>7781.32</v>
      </c>
      <c r="G56" s="192">
        <v>2690</v>
      </c>
      <c r="H56" s="125">
        <f>ROUND(G56*Valores!$C$2,2)</f>
        <v>222678.2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75218.18</v>
      </c>
      <c r="N56" s="125">
        <f t="shared" si="1"/>
        <v>0</v>
      </c>
      <c r="O56" s="125">
        <f>Valores!$C$9</f>
        <v>104016.7</v>
      </c>
      <c r="P56" s="125">
        <f>Valores!$D$5</f>
        <v>42317.14</v>
      </c>
      <c r="Q56" s="125">
        <f>Valores!$C$22</f>
        <v>37751.3</v>
      </c>
      <c r="R56" s="125">
        <f>IF($F$4="NO",Valores!$C$46,Valores!$C$46/2)</f>
        <v>31038.89</v>
      </c>
      <c r="S56" s="125">
        <f>Valores!$C$19</f>
        <v>39374.32</v>
      </c>
      <c r="T56" s="125">
        <f t="shared" si="8"/>
        <v>39374.32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Valores!$C$97</f>
        <v>69533</v>
      </c>
      <c r="AA56" s="125">
        <f>Valores!$C$25</f>
        <v>1730.69</v>
      </c>
      <c r="AB56" s="214">
        <v>0</v>
      </c>
      <c r="AC56" s="125">
        <f t="shared" si="2"/>
        <v>0</v>
      </c>
      <c r="AD56" s="125">
        <f>Valores!$C$26</f>
        <v>1730.69</v>
      </c>
      <c r="AE56" s="192">
        <v>94</v>
      </c>
      <c r="AF56" s="125">
        <f>ROUND(AE56*Valores!$C$2,2)</f>
        <v>7781.32</v>
      </c>
      <c r="AG56" s="125">
        <f>ROUND(IF($F$4="NO",Valores!$C$64,Valores!$C$64/2),2)</f>
        <v>19786.28</v>
      </c>
      <c r="AH56" s="125">
        <f>SUM(F56,H56,J56,L56,M56,N56,O56,P56,Q56,R56,T56,U56,V56,X56,Y56,Z56,AA56,AC56,AD56,AF56,AG56)*Valores!$C$104</f>
        <v>66073.803</v>
      </c>
      <c r="AI56" s="125">
        <f t="shared" si="3"/>
        <v>726811.8329999999</v>
      </c>
      <c r="AJ56" s="125">
        <f>Valores!$C$31</f>
        <v>35000</v>
      </c>
      <c r="AK56" s="125">
        <v>0</v>
      </c>
      <c r="AL56" s="125">
        <f>Valores!$C$90</f>
        <v>0</v>
      </c>
      <c r="AM56" s="125">
        <f>Valores!C$39*B56</f>
        <v>0</v>
      </c>
      <c r="AN56" s="125">
        <f>IF($F$3="NO",0,Valores!$C$57)</f>
        <v>0</v>
      </c>
      <c r="AO56" s="125">
        <f t="shared" si="4"/>
        <v>35000</v>
      </c>
      <c r="AP56" s="125">
        <f>AI56*Valores!$C$72</f>
        <v>-79949.30162999999</v>
      </c>
      <c r="AQ56" s="125">
        <f>IF(AI56&lt;Valores!$E$73,-0.02,IF(AI56&lt;Valores!$F$73,-0.03,-0.04))*AI56</f>
        <v>-14536.236659999997</v>
      </c>
      <c r="AR56" s="125">
        <f>AI56*Valores!$C$75</f>
        <v>-39974.65081499999</v>
      </c>
      <c r="AS56" s="125">
        <f>Valores!$C$102</f>
        <v>-1270.16</v>
      </c>
      <c r="AT56" s="125">
        <f>IF($F$5=0,Valores!$C$103,(Valores!$C$103+$F$5*(Valores!$C$103)))</f>
        <v>-11714</v>
      </c>
      <c r="AU56" s="125">
        <f t="shared" si="6"/>
        <v>614367.4838949998</v>
      </c>
      <c r="AV56" s="125">
        <f t="shared" si="0"/>
        <v>-79949.30162999999</v>
      </c>
      <c r="AW56" s="125">
        <f t="shared" si="7"/>
        <v>-14536.236659999997</v>
      </c>
      <c r="AX56" s="125">
        <f>AI56*Valores!$C$76</f>
        <v>-19623.919490999997</v>
      </c>
      <c r="AY56" s="125">
        <f>AI56*Valores!$C$77</f>
        <v>-2180.4354989999997</v>
      </c>
      <c r="AZ56" s="125">
        <f t="shared" si="5"/>
        <v>645521.9397199999</v>
      </c>
      <c r="BA56" s="125">
        <f>AI56*Valores!$C$79</f>
        <v>116289.89327999997</v>
      </c>
      <c r="BB56" s="125">
        <f>AI56*Valores!$C$80</f>
        <v>50876.82831</v>
      </c>
      <c r="BC56" s="125">
        <f>AI56*Valores!$C$81</f>
        <v>7268.118329999998</v>
      </c>
      <c r="BD56" s="125">
        <f>AI56*Valores!$C$83</f>
        <v>25438.414155</v>
      </c>
      <c r="BE56" s="125">
        <f>AI56*Valores!$C$85</f>
        <v>39247.838981999994</v>
      </c>
      <c r="BF56" s="125">
        <f>AI56*Valores!$C$84</f>
        <v>4360.870997999999</v>
      </c>
      <c r="BG56" s="126"/>
      <c r="BH56" s="126">
        <v>25</v>
      </c>
      <c r="BI56" s="123" t="s">
        <v>4</v>
      </c>
    </row>
    <row r="57" spans="1:61" s="110" customFormat="1" ht="11.25" customHeight="1">
      <c r="A57" s="123" t="s">
        <v>202</v>
      </c>
      <c r="B57" s="123">
        <v>1</v>
      </c>
      <c r="C57" s="126">
        <v>50</v>
      </c>
      <c r="D57" s="124" t="s">
        <v>203</v>
      </c>
      <c r="E57" s="192">
        <v>93</v>
      </c>
      <c r="F57" s="125">
        <f>ROUND(E57*Valores!$C$2,2)</f>
        <v>7698.54</v>
      </c>
      <c r="G57" s="192">
        <v>2547</v>
      </c>
      <c r="H57" s="125">
        <f>ROUND(G57*Valores!$C$2,2)</f>
        <v>210840.66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72238.1</v>
      </c>
      <c r="N57" s="125">
        <f t="shared" si="1"/>
        <v>0</v>
      </c>
      <c r="O57" s="125">
        <f>Valores!$C$9</f>
        <v>104016.7</v>
      </c>
      <c r="P57" s="125">
        <f>Valores!$D$5</f>
        <v>42317.14</v>
      </c>
      <c r="Q57" s="125">
        <f>Valores!$C$22</f>
        <v>37751.3</v>
      </c>
      <c r="R57" s="125">
        <f>IF($F$4="NO",Valores!$C$46,Valores!$C$46/2)</f>
        <v>31038.89</v>
      </c>
      <c r="S57" s="125">
        <f>Valores!$C$19</f>
        <v>39374.32</v>
      </c>
      <c r="T57" s="125">
        <f t="shared" si="8"/>
        <v>39374.32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Valores!$C$97</f>
        <v>69533</v>
      </c>
      <c r="AA57" s="125">
        <f>Valores!$C$25</f>
        <v>1730.69</v>
      </c>
      <c r="AB57" s="214">
        <v>0</v>
      </c>
      <c r="AC57" s="125">
        <f t="shared" si="2"/>
        <v>0</v>
      </c>
      <c r="AD57" s="125">
        <f>Valores!$C$26</f>
        <v>1730.69</v>
      </c>
      <c r="AE57" s="192">
        <v>0</v>
      </c>
      <c r="AF57" s="125">
        <f>ROUND(AE57*Valores!$C$2,2)</f>
        <v>0</v>
      </c>
      <c r="AG57" s="125">
        <f>ROUND(IF($F$4="NO",Valores!$C$64,Valores!$C$64/2),2)</f>
        <v>19786.28</v>
      </c>
      <c r="AH57" s="125">
        <f>SUM(F57,H57,J57,L57,M57,N57,O57,P57,Q57,R57,T57,U57,V57,X57,Y57,Z57,AA57,AC57,AD57,AF57,AG57)*Valores!$C$104</f>
        <v>63805.630999999994</v>
      </c>
      <c r="AI57" s="125">
        <f t="shared" si="3"/>
        <v>701861.9409999999</v>
      </c>
      <c r="AJ57" s="125">
        <f>Valores!$C$31</f>
        <v>35000</v>
      </c>
      <c r="AK57" s="125">
        <v>0</v>
      </c>
      <c r="AL57" s="125">
        <f>Valores!$C$90</f>
        <v>0</v>
      </c>
      <c r="AM57" s="125">
        <f>Valores!C$39*B57</f>
        <v>0</v>
      </c>
      <c r="AN57" s="125">
        <f>IF($F$3="NO",0,Valores!$C$57)</f>
        <v>0</v>
      </c>
      <c r="AO57" s="125">
        <f t="shared" si="4"/>
        <v>35000</v>
      </c>
      <c r="AP57" s="125">
        <f>AI57*Valores!$C$72</f>
        <v>-77204.81350999999</v>
      </c>
      <c r="AQ57" s="125">
        <f>IF(AI57&lt;Valores!$E$73,-0.02,IF(AI57&lt;Valores!$F$73,-0.03,-0.04))*AI57</f>
        <v>-14037.238819999999</v>
      </c>
      <c r="AR57" s="125">
        <f>AI57*Valores!$C$75</f>
        <v>-38602.406754999996</v>
      </c>
      <c r="AS57" s="125">
        <f>Valores!$C$102</f>
        <v>-1270.16</v>
      </c>
      <c r="AT57" s="125">
        <f>IF($F$5=0,Valores!$C$103,(Valores!$C$103+$F$5*(Valores!$C$103)))</f>
        <v>-11714</v>
      </c>
      <c r="AU57" s="125">
        <f t="shared" si="6"/>
        <v>594033.3219149999</v>
      </c>
      <c r="AV57" s="125">
        <f t="shared" si="0"/>
        <v>-77204.81350999999</v>
      </c>
      <c r="AW57" s="125">
        <f t="shared" si="7"/>
        <v>-14037.238819999999</v>
      </c>
      <c r="AX57" s="125">
        <f>AI57*Valores!$C$76</f>
        <v>-18950.272406999997</v>
      </c>
      <c r="AY57" s="125">
        <f>AI57*Valores!$C$77</f>
        <v>-2105.585823</v>
      </c>
      <c r="AZ57" s="125">
        <f t="shared" si="5"/>
        <v>624564.0304399999</v>
      </c>
      <c r="BA57" s="125">
        <f>AI57*Valores!$C$79</f>
        <v>112297.91055999999</v>
      </c>
      <c r="BB57" s="125">
        <f>AI57*Valores!$C$80</f>
        <v>49130.335869999995</v>
      </c>
      <c r="BC57" s="125">
        <f>AI57*Valores!$C$81</f>
        <v>7018.619409999999</v>
      </c>
      <c r="BD57" s="125">
        <f>AI57*Valores!$C$83</f>
        <v>24565.167934999998</v>
      </c>
      <c r="BE57" s="125">
        <f>AI57*Valores!$C$85</f>
        <v>37900.54481399999</v>
      </c>
      <c r="BF57" s="125">
        <f>AI57*Valores!$C$84</f>
        <v>4211.171646</v>
      </c>
      <c r="BG57" s="126"/>
      <c r="BH57" s="126">
        <v>30</v>
      </c>
      <c r="BI57" s="123" t="s">
        <v>4</v>
      </c>
    </row>
    <row r="58" spans="1:61" s="110" customFormat="1" ht="11.25" customHeight="1">
      <c r="A58" s="123" t="s">
        <v>204</v>
      </c>
      <c r="B58" s="123">
        <v>1</v>
      </c>
      <c r="C58" s="126">
        <v>51</v>
      </c>
      <c r="D58" s="124" t="s">
        <v>205</v>
      </c>
      <c r="E58" s="192">
        <v>89</v>
      </c>
      <c r="F58" s="125">
        <f>ROUND(E58*Valores!$C$2,2)</f>
        <v>7367.42</v>
      </c>
      <c r="G58" s="192">
        <v>2551</v>
      </c>
      <c r="H58" s="125">
        <f>ROUND(G58*Valores!$C$2,2)</f>
        <v>211171.78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72238.1</v>
      </c>
      <c r="N58" s="125">
        <f t="shared" si="1"/>
        <v>0</v>
      </c>
      <c r="O58" s="125">
        <f>Valores!$C$9</f>
        <v>104016.7</v>
      </c>
      <c r="P58" s="125">
        <f>Valores!$D$5</f>
        <v>42317.14</v>
      </c>
      <c r="Q58" s="125">
        <f>Valores!$C$22</f>
        <v>37751.3</v>
      </c>
      <c r="R58" s="125">
        <f>IF($F$4="NO",Valores!$C$46,Valores!$C$46/2)</f>
        <v>31038.89</v>
      </c>
      <c r="S58" s="125">
        <f>Valores!$C$19</f>
        <v>39374.32</v>
      </c>
      <c r="T58" s="125">
        <f t="shared" si="8"/>
        <v>39374.32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Valores!$C$97</f>
        <v>69533</v>
      </c>
      <c r="AA58" s="125">
        <f>Valores!$C$25</f>
        <v>1730.69</v>
      </c>
      <c r="AB58" s="214">
        <v>0</v>
      </c>
      <c r="AC58" s="125">
        <f t="shared" si="2"/>
        <v>0</v>
      </c>
      <c r="AD58" s="125">
        <f>Valores!$C$26</f>
        <v>1730.69</v>
      </c>
      <c r="AE58" s="192">
        <v>94</v>
      </c>
      <c r="AF58" s="125">
        <f>ROUND(AE58*Valores!$C$2,2)</f>
        <v>7781.32</v>
      </c>
      <c r="AG58" s="125">
        <f>ROUND(IF($F$4="NO",Valores!$C$64,Valores!$C$64/2),2)</f>
        <v>19786.28</v>
      </c>
      <c r="AH58" s="125">
        <f>SUM(F58,H58,J58,L58,M58,N58,O58,P58,Q58,R58,T58,U58,V58,X58,Y58,Z58,AA58,AC58,AD58,AF58,AG58)*Valores!$C$104</f>
        <v>64583.76299999999</v>
      </c>
      <c r="AI58" s="125">
        <f t="shared" si="3"/>
        <v>710421.3929999999</v>
      </c>
      <c r="AJ58" s="125">
        <f>Valores!$C$31</f>
        <v>35000</v>
      </c>
      <c r="AK58" s="125">
        <v>0</v>
      </c>
      <c r="AL58" s="125">
        <f>Valores!$C$90</f>
        <v>0</v>
      </c>
      <c r="AM58" s="125">
        <f>Valores!C$39*B58</f>
        <v>0</v>
      </c>
      <c r="AN58" s="125">
        <f>IF($F$3="NO",0,Valores!$C$57)</f>
        <v>0</v>
      </c>
      <c r="AO58" s="125">
        <f t="shared" si="4"/>
        <v>35000</v>
      </c>
      <c r="AP58" s="125">
        <f>AI58*Valores!$C$72</f>
        <v>-78146.35323</v>
      </c>
      <c r="AQ58" s="125">
        <f>IF(AI58&lt;Valores!$E$73,-0.02,IF(AI58&lt;Valores!$F$73,-0.03,-0.04))*AI58</f>
        <v>-14208.427859999998</v>
      </c>
      <c r="AR58" s="125">
        <f>AI58*Valores!$C$75</f>
        <v>-39073.176615</v>
      </c>
      <c r="AS58" s="125">
        <f>Valores!$C$102</f>
        <v>-1270.16</v>
      </c>
      <c r="AT58" s="125">
        <f>IF($F$5=0,Valores!$C$103,(Valores!$C$103+$F$5*(Valores!$C$103)))</f>
        <v>-11714</v>
      </c>
      <c r="AU58" s="125">
        <f t="shared" si="6"/>
        <v>601009.2752949999</v>
      </c>
      <c r="AV58" s="125">
        <f t="shared" si="0"/>
        <v>-78146.35323</v>
      </c>
      <c r="AW58" s="125">
        <f t="shared" si="7"/>
        <v>-14208.427859999998</v>
      </c>
      <c r="AX58" s="125">
        <f>AI58*Valores!$C$76</f>
        <v>-19181.377610999996</v>
      </c>
      <c r="AY58" s="125">
        <f>AI58*Valores!$C$77</f>
        <v>-2131.264179</v>
      </c>
      <c r="AZ58" s="125">
        <f t="shared" si="5"/>
        <v>631753.97012</v>
      </c>
      <c r="BA58" s="125">
        <f>AI58*Valores!$C$79</f>
        <v>113667.42287999998</v>
      </c>
      <c r="BB58" s="125">
        <f>AI58*Valores!$C$80</f>
        <v>49729.49751</v>
      </c>
      <c r="BC58" s="125">
        <f>AI58*Valores!$C$81</f>
        <v>7104.213929999999</v>
      </c>
      <c r="BD58" s="125">
        <f>AI58*Valores!$C$83</f>
        <v>24864.748755</v>
      </c>
      <c r="BE58" s="125">
        <f>AI58*Valores!$C$85</f>
        <v>38362.75522199999</v>
      </c>
      <c r="BF58" s="125">
        <f>AI58*Valores!$C$84</f>
        <v>4262.528358</v>
      </c>
      <c r="BG58" s="126"/>
      <c r="BH58" s="126">
        <v>25</v>
      </c>
      <c r="BI58" s="123" t="s">
        <v>4</v>
      </c>
    </row>
    <row r="59" spans="1:61" s="110" customFormat="1" ht="11.25" customHeight="1">
      <c r="A59" s="123" t="s">
        <v>206</v>
      </c>
      <c r="B59" s="123">
        <v>1</v>
      </c>
      <c r="C59" s="126">
        <v>52</v>
      </c>
      <c r="D59" s="124" t="s">
        <v>207</v>
      </c>
      <c r="E59" s="192">
        <v>89</v>
      </c>
      <c r="F59" s="125">
        <f>ROUND(E59*Valores!$C$2,2)</f>
        <v>7367.42</v>
      </c>
      <c r="G59" s="192">
        <v>2251</v>
      </c>
      <c r="H59" s="125">
        <f>ROUND(G59*Valores!$C$2,2)</f>
        <v>186337.78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66029.6</v>
      </c>
      <c r="N59" s="125">
        <f t="shared" si="1"/>
        <v>0</v>
      </c>
      <c r="O59" s="125">
        <f>Valores!$C$9</f>
        <v>104016.7</v>
      </c>
      <c r="P59" s="125">
        <f>Valores!$D$5</f>
        <v>42317.14</v>
      </c>
      <c r="Q59" s="125">
        <f>Valores!$C$22</f>
        <v>37751.3</v>
      </c>
      <c r="R59" s="125">
        <f>IF($F$4="NO",Valores!$C$46,Valores!$C$46/2)</f>
        <v>31038.89</v>
      </c>
      <c r="S59" s="125">
        <f>Valores!$C$19</f>
        <v>39374.32</v>
      </c>
      <c r="T59" s="125">
        <f t="shared" si="8"/>
        <v>39374.32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Valores!$C$97</f>
        <v>69533</v>
      </c>
      <c r="AA59" s="125">
        <f>Valores!$C$25</f>
        <v>1730.69</v>
      </c>
      <c r="AB59" s="214">
        <v>0</v>
      </c>
      <c r="AC59" s="125">
        <f t="shared" si="2"/>
        <v>0</v>
      </c>
      <c r="AD59" s="125">
        <f>Valores!$C$26</f>
        <v>1730.69</v>
      </c>
      <c r="AE59" s="192">
        <v>0</v>
      </c>
      <c r="AF59" s="125">
        <f>ROUND(AE59*Valores!$C$2,2)</f>
        <v>0</v>
      </c>
      <c r="AG59" s="125">
        <f>ROUND(IF($F$4="NO",Valores!$C$64,Valores!$C$64/2),2)</f>
        <v>19786.28</v>
      </c>
      <c r="AH59" s="125">
        <f>SUM(F59,H59,J59,L59,M59,N59,O59,P59,Q59,R59,T59,U59,V59,X59,Y59,Z59,AA59,AC59,AD59,AF59,AG59)*Valores!$C$104</f>
        <v>60701.380999999994</v>
      </c>
      <c r="AI59" s="125">
        <f t="shared" si="3"/>
        <v>667715.1909999999</v>
      </c>
      <c r="AJ59" s="125">
        <f>Valores!$C$31</f>
        <v>35000</v>
      </c>
      <c r="AK59" s="125">
        <v>0</v>
      </c>
      <c r="AL59" s="125">
        <f>Valores!$C$90</f>
        <v>0</v>
      </c>
      <c r="AM59" s="125">
        <f>Valores!C$39*B59</f>
        <v>0</v>
      </c>
      <c r="AN59" s="125">
        <f>IF($F$3="NO",0,Valores!$C$57)</f>
        <v>0</v>
      </c>
      <c r="AO59" s="125">
        <f t="shared" si="4"/>
        <v>35000</v>
      </c>
      <c r="AP59" s="125">
        <f>AI59*Valores!$C$72</f>
        <v>-73448.67100999999</v>
      </c>
      <c r="AQ59" s="125">
        <f>IF(AI59&lt;Valores!$E$73,-0.02,IF(AI59&lt;Valores!$F$73,-0.03,-0.04))*AI59</f>
        <v>-13354.303819999997</v>
      </c>
      <c r="AR59" s="125">
        <f>AI59*Valores!$C$75</f>
        <v>-36724.335504999995</v>
      </c>
      <c r="AS59" s="125">
        <f>Valores!$C$102</f>
        <v>-1270.16</v>
      </c>
      <c r="AT59" s="125">
        <f>IF($F$5=0,Valores!$C$103,(Valores!$C$103+$F$5*(Valores!$C$103)))</f>
        <v>-11714</v>
      </c>
      <c r="AU59" s="125">
        <f t="shared" si="6"/>
        <v>566203.7206649999</v>
      </c>
      <c r="AV59" s="125">
        <f t="shared" si="0"/>
        <v>-73448.67100999999</v>
      </c>
      <c r="AW59" s="125">
        <f t="shared" si="7"/>
        <v>-13354.303819999997</v>
      </c>
      <c r="AX59" s="125">
        <f>AI59*Valores!$C$76</f>
        <v>-18028.310156999996</v>
      </c>
      <c r="AY59" s="125">
        <f>AI59*Valores!$C$77</f>
        <v>-2003.1455729999996</v>
      </c>
      <c r="AZ59" s="125">
        <f t="shared" si="5"/>
        <v>595880.7604399999</v>
      </c>
      <c r="BA59" s="125">
        <f>AI59*Valores!$C$79</f>
        <v>106834.43055999998</v>
      </c>
      <c r="BB59" s="125">
        <f>AI59*Valores!$C$80</f>
        <v>46740.063369999996</v>
      </c>
      <c r="BC59" s="125">
        <f>AI59*Valores!$C$81</f>
        <v>6677.151909999999</v>
      </c>
      <c r="BD59" s="125">
        <f>AI59*Valores!$C$83</f>
        <v>23370.031684999998</v>
      </c>
      <c r="BE59" s="125">
        <f>AI59*Valores!$C$85</f>
        <v>36056.62031399999</v>
      </c>
      <c r="BF59" s="125">
        <f>AI59*Valores!$C$84</f>
        <v>4006.291145999999</v>
      </c>
      <c r="BG59" s="126"/>
      <c r="BH59" s="126">
        <v>30</v>
      </c>
      <c r="BI59" s="123" t="s">
        <v>4</v>
      </c>
    </row>
    <row r="60" spans="1:61" s="110" customFormat="1" ht="11.25" customHeight="1">
      <c r="A60" s="123" t="s">
        <v>208</v>
      </c>
      <c r="B60" s="123">
        <v>1</v>
      </c>
      <c r="C60" s="126">
        <v>53</v>
      </c>
      <c r="D60" s="124" t="s">
        <v>209</v>
      </c>
      <c r="E60" s="192">
        <v>85</v>
      </c>
      <c r="F60" s="125">
        <f>ROUND(E60*Valores!$C$2,2)</f>
        <v>7036.3</v>
      </c>
      <c r="G60" s="192">
        <v>2255</v>
      </c>
      <c r="H60" s="125">
        <f>ROUND(G60*Valores!$C$2,2)</f>
        <v>186668.9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66029.6</v>
      </c>
      <c r="N60" s="125">
        <f t="shared" si="1"/>
        <v>0</v>
      </c>
      <c r="O60" s="125">
        <f>Valores!$C$9</f>
        <v>104016.7</v>
      </c>
      <c r="P60" s="125">
        <f>Valores!$D$5</f>
        <v>42317.14</v>
      </c>
      <c r="Q60" s="125">
        <f>Valores!$C$22</f>
        <v>37751.3</v>
      </c>
      <c r="R60" s="125">
        <f>IF($F$4="NO",Valores!$C$46,Valores!$C$46/2)</f>
        <v>31038.89</v>
      </c>
      <c r="S60" s="125">
        <f>Valores!$C$19</f>
        <v>39374.32</v>
      </c>
      <c r="T60" s="125">
        <f t="shared" si="8"/>
        <v>39374.32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Valores!$C$97</f>
        <v>69533</v>
      </c>
      <c r="AA60" s="125">
        <f>Valores!$C$25</f>
        <v>1730.69</v>
      </c>
      <c r="AB60" s="214">
        <v>0</v>
      </c>
      <c r="AC60" s="125">
        <f t="shared" si="2"/>
        <v>0</v>
      </c>
      <c r="AD60" s="125">
        <f>Valores!$C$26</f>
        <v>1730.69</v>
      </c>
      <c r="AE60" s="192">
        <v>94</v>
      </c>
      <c r="AF60" s="125">
        <f>ROUND(AE60*Valores!$C$2,2)</f>
        <v>7781.32</v>
      </c>
      <c r="AG60" s="125">
        <f>ROUND(IF($F$4="NO",Valores!$C$64,Valores!$C$64/2),2)</f>
        <v>19786.28</v>
      </c>
      <c r="AH60" s="125">
        <f>SUM(F60,H60,J60,L60,M60,N60,O60,P60,Q60,R60,T60,U60,V60,X60,Y60,Z60,AA60,AC60,AD60,AF60,AG60)*Valores!$C$104</f>
        <v>61479.51299999999</v>
      </c>
      <c r="AI60" s="125">
        <f t="shared" si="3"/>
        <v>676274.6429999999</v>
      </c>
      <c r="AJ60" s="125">
        <f>Valores!$C$31</f>
        <v>35000</v>
      </c>
      <c r="AK60" s="125">
        <v>0</v>
      </c>
      <c r="AL60" s="125">
        <f>Valores!$C$90</f>
        <v>0</v>
      </c>
      <c r="AM60" s="125">
        <f>Valores!C$39*B60</f>
        <v>0</v>
      </c>
      <c r="AN60" s="125">
        <f>IF($F$3="NO",0,Valores!$C$57)</f>
        <v>0</v>
      </c>
      <c r="AO60" s="125">
        <f t="shared" si="4"/>
        <v>35000</v>
      </c>
      <c r="AP60" s="125">
        <f>AI60*Valores!$C$72</f>
        <v>-74390.21072999999</v>
      </c>
      <c r="AQ60" s="125">
        <f>IF(AI60&lt;Valores!$E$73,-0.02,IF(AI60&lt;Valores!$F$73,-0.03,-0.04))*AI60</f>
        <v>-13525.492859999998</v>
      </c>
      <c r="AR60" s="125">
        <f>AI60*Valores!$C$75</f>
        <v>-37195.105364999996</v>
      </c>
      <c r="AS60" s="125">
        <f>Valores!$C$102</f>
        <v>-1270.16</v>
      </c>
      <c r="AT60" s="125">
        <f>IF($F$5=0,Valores!$C$103,(Valores!$C$103+$F$5*(Valores!$C$103)))</f>
        <v>-11714</v>
      </c>
      <c r="AU60" s="125">
        <f t="shared" si="6"/>
        <v>573179.674045</v>
      </c>
      <c r="AV60" s="125">
        <f t="shared" si="0"/>
        <v>-74390.21072999999</v>
      </c>
      <c r="AW60" s="125">
        <f t="shared" si="7"/>
        <v>-13525.492859999998</v>
      </c>
      <c r="AX60" s="125">
        <f>AI60*Valores!$C$76</f>
        <v>-18259.415361</v>
      </c>
      <c r="AY60" s="125">
        <f>AI60*Valores!$C$77</f>
        <v>-2028.823929</v>
      </c>
      <c r="AZ60" s="125">
        <f t="shared" si="5"/>
        <v>603070.7001199999</v>
      </c>
      <c r="BA60" s="125">
        <f>AI60*Valores!$C$79</f>
        <v>108203.94287999999</v>
      </c>
      <c r="BB60" s="125">
        <f>AI60*Valores!$C$80</f>
        <v>47339.22501</v>
      </c>
      <c r="BC60" s="125">
        <f>AI60*Valores!$C$81</f>
        <v>6762.746429999999</v>
      </c>
      <c r="BD60" s="125">
        <f>AI60*Valores!$C$83</f>
        <v>23669.612505</v>
      </c>
      <c r="BE60" s="125">
        <f>AI60*Valores!$C$85</f>
        <v>36518.830722</v>
      </c>
      <c r="BF60" s="125">
        <f>AI60*Valores!$C$84</f>
        <v>4057.647858</v>
      </c>
      <c r="BG60" s="126"/>
      <c r="BH60" s="126">
        <v>25</v>
      </c>
      <c r="BI60" s="123" t="s">
        <v>4</v>
      </c>
    </row>
    <row r="61" spans="1:61" s="110" customFormat="1" ht="11.25" customHeight="1">
      <c r="A61" s="123" t="s">
        <v>210</v>
      </c>
      <c r="B61" s="123">
        <v>1</v>
      </c>
      <c r="C61" s="126">
        <v>54</v>
      </c>
      <c r="D61" s="124" t="s">
        <v>211</v>
      </c>
      <c r="E61" s="192">
        <v>100</v>
      </c>
      <c r="F61" s="125">
        <f>ROUND(E61*Valores!$C$2,2)</f>
        <v>8278</v>
      </c>
      <c r="G61" s="192">
        <v>3180</v>
      </c>
      <c r="H61" s="125">
        <f>ROUND(G61*Valores!$C$2,2)</f>
        <v>263240.4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87138.71</v>
      </c>
      <c r="N61" s="125">
        <f t="shared" si="1"/>
        <v>0</v>
      </c>
      <c r="O61" s="125">
        <f>Valores!$C$9</f>
        <v>104016.7</v>
      </c>
      <c r="P61" s="125">
        <f>Valores!$D$5</f>
        <v>42317.14</v>
      </c>
      <c r="Q61" s="125">
        <f>Valores!$C$22</f>
        <v>37751.3</v>
      </c>
      <c r="R61" s="125">
        <f>IF($F$4="NO",Valores!$C$49,Valores!$C$49/2)</f>
        <v>37662.13</v>
      </c>
      <c r="S61" s="125">
        <f>Valores!$C$19</f>
        <v>39374.32</v>
      </c>
      <c r="T61" s="125">
        <f t="shared" si="8"/>
        <v>39374.32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Valores!$C$97</f>
        <v>69533</v>
      </c>
      <c r="AA61" s="125">
        <f>Valores!$C$25</f>
        <v>1730.69</v>
      </c>
      <c r="AB61" s="214">
        <v>0</v>
      </c>
      <c r="AC61" s="125">
        <f t="shared" si="2"/>
        <v>0</v>
      </c>
      <c r="AD61" s="125">
        <f>Valores!$C$26</f>
        <v>1730.69</v>
      </c>
      <c r="AE61" s="192">
        <v>0</v>
      </c>
      <c r="AF61" s="125">
        <f>ROUND(AE61*Valores!$C$2,2)</f>
        <v>0</v>
      </c>
      <c r="AG61" s="125">
        <f>ROUND(IF($F$4="NO",Valores!$C$64,Valores!$C$64/2),2)</f>
        <v>19786.28</v>
      </c>
      <c r="AH61" s="125">
        <f>SUM(F61,H61,J61,L61,M61,N61,O61,P61,Q61,R61,T61,U61,V61,X61,Y61,Z61,AA61,AC61,AD61,AF61,AG61)*Valores!$C$104</f>
        <v>71255.936</v>
      </c>
      <c r="AI61" s="125">
        <f t="shared" si="3"/>
        <v>783815.296</v>
      </c>
      <c r="AJ61" s="125">
        <f>Valores!$C$32</f>
        <v>70000</v>
      </c>
      <c r="AK61" s="125">
        <v>0</v>
      </c>
      <c r="AL61" s="125">
        <f>Valores!$C$90</f>
        <v>0</v>
      </c>
      <c r="AM61" s="125">
        <f>Valores!C$39*B61</f>
        <v>0</v>
      </c>
      <c r="AN61" s="125">
        <f>IF($F$3="NO",0,Valores!$C$57)</f>
        <v>0</v>
      </c>
      <c r="AO61" s="125">
        <f t="shared" si="4"/>
        <v>70000</v>
      </c>
      <c r="AP61" s="125">
        <f>AI61*Valores!$C$72</f>
        <v>-86219.68256</v>
      </c>
      <c r="AQ61" s="125">
        <f>IF(AI61&lt;Valores!$E$73,-0.02,IF(AI61&lt;Valores!$F$73,-0.03,-0.04))*AI61</f>
        <v>-23514.45888</v>
      </c>
      <c r="AR61" s="125">
        <f>AI61*Valores!$C$75</f>
        <v>-43109.84128</v>
      </c>
      <c r="AS61" s="125">
        <f>Valores!$C$102</f>
        <v>-1270.16</v>
      </c>
      <c r="AT61" s="125">
        <f>IF($F$5=0,Valores!$C$103,(Valores!$C$103+$F$5*(Valores!$C$103)))</f>
        <v>-11714</v>
      </c>
      <c r="AU61" s="125">
        <f t="shared" si="6"/>
        <v>687987.15328</v>
      </c>
      <c r="AV61" s="125">
        <f t="shared" si="0"/>
        <v>-86219.68256</v>
      </c>
      <c r="AW61" s="125">
        <f t="shared" si="7"/>
        <v>-23514.45888</v>
      </c>
      <c r="AX61" s="125">
        <f>AI61*Valores!$C$76</f>
        <v>-21163.012992</v>
      </c>
      <c r="AY61" s="125">
        <f>AI61*Valores!$C$77</f>
        <v>-2351.4458879999997</v>
      </c>
      <c r="AZ61" s="125">
        <f t="shared" si="5"/>
        <v>720566.69568</v>
      </c>
      <c r="BA61" s="125">
        <f>AI61*Valores!$C$79</f>
        <v>125410.44735999999</v>
      </c>
      <c r="BB61" s="125">
        <f>AI61*Valores!$C$80</f>
        <v>54867.07072</v>
      </c>
      <c r="BC61" s="125">
        <f>AI61*Valores!$C$81</f>
        <v>7838.152959999999</v>
      </c>
      <c r="BD61" s="125">
        <f>AI61*Valores!$C$83</f>
        <v>27433.53536</v>
      </c>
      <c r="BE61" s="125">
        <f>AI61*Valores!$C$85</f>
        <v>42326.025984</v>
      </c>
      <c r="BF61" s="125">
        <f>AI61*Valores!$C$84</f>
        <v>4702.8917759999995</v>
      </c>
      <c r="BG61" s="126"/>
      <c r="BH61" s="126"/>
      <c r="BI61" s="123" t="s">
        <v>4</v>
      </c>
    </row>
    <row r="62" spans="1:61" s="110" customFormat="1" ht="11.25" customHeight="1">
      <c r="A62" s="123" t="s">
        <v>212</v>
      </c>
      <c r="B62" s="123">
        <v>1</v>
      </c>
      <c r="C62" s="126">
        <v>55</v>
      </c>
      <c r="D62" s="124" t="s">
        <v>213</v>
      </c>
      <c r="E62" s="192">
        <v>83</v>
      </c>
      <c r="F62" s="125">
        <f>ROUND(E62*Valores!$C$2,2)</f>
        <v>6870.74</v>
      </c>
      <c r="G62" s="192">
        <v>2352</v>
      </c>
      <c r="H62" s="125">
        <f>ROUND(G62*Valores!$C$2,2)</f>
        <v>194698.56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67995.63</v>
      </c>
      <c r="N62" s="125">
        <f t="shared" si="1"/>
        <v>0</v>
      </c>
      <c r="O62" s="125">
        <f>Valores!$C$9</f>
        <v>104016.7</v>
      </c>
      <c r="P62" s="125">
        <f>Valores!$D$5</f>
        <v>42317.14</v>
      </c>
      <c r="Q62" s="125">
        <f>Valores!$C$22</f>
        <v>37751.3</v>
      </c>
      <c r="R62" s="125">
        <f>IF($F$4="NO",Valores!$C$46,Valores!$C$46/2)</f>
        <v>31038.89</v>
      </c>
      <c r="S62" s="125">
        <f>Valores!$C$19</f>
        <v>39374.32</v>
      </c>
      <c r="T62" s="125">
        <f t="shared" si="8"/>
        <v>39374.32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Valores!$C$97</f>
        <v>69533</v>
      </c>
      <c r="AA62" s="125">
        <f>Valores!$C$25</f>
        <v>1730.69</v>
      </c>
      <c r="AB62" s="214">
        <v>0</v>
      </c>
      <c r="AC62" s="125">
        <f t="shared" si="2"/>
        <v>0</v>
      </c>
      <c r="AD62" s="125">
        <f>Valores!$C$26</f>
        <v>1730.69</v>
      </c>
      <c r="AE62" s="192">
        <v>0</v>
      </c>
      <c r="AF62" s="125">
        <f>ROUND(AE62*Valores!$C$2,2)</f>
        <v>0</v>
      </c>
      <c r="AG62" s="125">
        <f>ROUND(IF($F$4="NO",Valores!$C$64,Valores!$C$64/2),2)</f>
        <v>19786.28</v>
      </c>
      <c r="AH62" s="125">
        <f>SUM(F62,H62,J62,L62,M62,N62,O62,P62,Q62,R62,T62,U62,V62,X62,Y62,Z62,AA62,AC62,AD62,AF62,AG62)*Valores!$C$104</f>
        <v>61684.394</v>
      </c>
      <c r="AI62" s="125">
        <f t="shared" si="3"/>
        <v>678528.3339999999</v>
      </c>
      <c r="AJ62" s="125">
        <f>Valores!$C$31</f>
        <v>35000</v>
      </c>
      <c r="AK62" s="125">
        <v>0</v>
      </c>
      <c r="AL62" s="125">
        <f>Valores!$C$90</f>
        <v>0</v>
      </c>
      <c r="AM62" s="125">
        <f>Valores!C$39*B62</f>
        <v>0</v>
      </c>
      <c r="AN62" s="125">
        <f>IF($F$3="NO",0,Valores!$C$57)</f>
        <v>0</v>
      </c>
      <c r="AO62" s="125">
        <f t="shared" si="4"/>
        <v>35000</v>
      </c>
      <c r="AP62" s="125">
        <f>AI62*Valores!$C$72</f>
        <v>-74638.11674</v>
      </c>
      <c r="AQ62" s="125">
        <f>IF(AI62&lt;Valores!$E$73,-0.02,IF(AI62&lt;Valores!$F$73,-0.03,-0.04))*AI62</f>
        <v>-13570.566679999998</v>
      </c>
      <c r="AR62" s="125">
        <f>AI62*Valores!$C$75</f>
        <v>-37319.05837</v>
      </c>
      <c r="AS62" s="125">
        <f>Valores!$C$102</f>
        <v>-1270.16</v>
      </c>
      <c r="AT62" s="125">
        <f>IF($F$5=0,Valores!$C$103,(Valores!$C$103+$F$5*(Valores!$C$103)))</f>
        <v>-11714</v>
      </c>
      <c r="AU62" s="125">
        <f t="shared" si="6"/>
        <v>575016.4322099999</v>
      </c>
      <c r="AV62" s="125">
        <f t="shared" si="0"/>
        <v>-74638.11674</v>
      </c>
      <c r="AW62" s="125">
        <f t="shared" si="7"/>
        <v>-13570.566679999998</v>
      </c>
      <c r="AX62" s="125">
        <f>AI62*Valores!$C$76</f>
        <v>-18320.265018</v>
      </c>
      <c r="AY62" s="125">
        <f>AI62*Valores!$C$77</f>
        <v>-2035.5850019999998</v>
      </c>
      <c r="AZ62" s="125">
        <f t="shared" si="5"/>
        <v>604963.8005599999</v>
      </c>
      <c r="BA62" s="125">
        <f>AI62*Valores!$C$79</f>
        <v>108564.53343999998</v>
      </c>
      <c r="BB62" s="125">
        <f>AI62*Valores!$C$80</f>
        <v>47496.98338</v>
      </c>
      <c r="BC62" s="125">
        <f>AI62*Valores!$C$81</f>
        <v>6785.283339999999</v>
      </c>
      <c r="BD62" s="125">
        <f>AI62*Valores!$C$83</f>
        <v>23748.49169</v>
      </c>
      <c r="BE62" s="125">
        <f>AI62*Valores!$C$85</f>
        <v>36640.530036</v>
      </c>
      <c r="BF62" s="125">
        <f>AI62*Valores!$C$84</f>
        <v>4071.1700039999996</v>
      </c>
      <c r="BG62" s="126"/>
      <c r="BH62" s="126">
        <v>30</v>
      </c>
      <c r="BI62" s="123" t="s">
        <v>4</v>
      </c>
    </row>
    <row r="63" spans="1:61" s="110" customFormat="1" ht="11.25" customHeight="1">
      <c r="A63" s="123" t="s">
        <v>214</v>
      </c>
      <c r="B63" s="123">
        <v>1</v>
      </c>
      <c r="C63" s="126">
        <v>56</v>
      </c>
      <c r="D63" s="124" t="s">
        <v>215</v>
      </c>
      <c r="E63" s="192">
        <v>81</v>
      </c>
      <c r="F63" s="125">
        <f>ROUND(E63*Valores!$C$2,2)</f>
        <v>6705.18</v>
      </c>
      <c r="G63" s="192">
        <v>2354</v>
      </c>
      <c r="H63" s="125">
        <f>ROUND(G63*Valores!$C$2,2)</f>
        <v>194864.12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67995.63</v>
      </c>
      <c r="N63" s="125">
        <f t="shared" si="1"/>
        <v>0</v>
      </c>
      <c r="O63" s="125">
        <f>Valores!$C$9</f>
        <v>104016.7</v>
      </c>
      <c r="P63" s="125">
        <f>Valores!$D$5</f>
        <v>42317.14</v>
      </c>
      <c r="Q63" s="125">
        <f>Valores!$C$22</f>
        <v>37751.3</v>
      </c>
      <c r="R63" s="125">
        <f>IF($F$4="NO",Valores!$C$46,Valores!$C$46/2)</f>
        <v>31038.89</v>
      </c>
      <c r="S63" s="125">
        <f>Valores!$C$19</f>
        <v>39374.32</v>
      </c>
      <c r="T63" s="125">
        <f t="shared" si="8"/>
        <v>39374.32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Valores!$C$97</f>
        <v>69533</v>
      </c>
      <c r="AA63" s="125">
        <f>Valores!$C$25</f>
        <v>1730.69</v>
      </c>
      <c r="AB63" s="214">
        <v>0</v>
      </c>
      <c r="AC63" s="125">
        <f t="shared" si="2"/>
        <v>0</v>
      </c>
      <c r="AD63" s="125">
        <f>Valores!$C$26</f>
        <v>1730.69</v>
      </c>
      <c r="AE63" s="192">
        <v>94</v>
      </c>
      <c r="AF63" s="125">
        <f>ROUND(AE63*Valores!$C$2,2)</f>
        <v>7781.32</v>
      </c>
      <c r="AG63" s="125">
        <f>ROUND(IF($F$4="NO",Valores!$C$64,Valores!$C$64/2),2)</f>
        <v>19786.28</v>
      </c>
      <c r="AH63" s="125">
        <f>SUM(F63,H63,J63,L63,M63,N63,O63,P63,Q63,R63,T63,U63,V63,X63,Y63,Z63,AA63,AC63,AD63,AF63,AG63)*Valores!$C$104</f>
        <v>62462.52599999999</v>
      </c>
      <c r="AI63" s="125">
        <f t="shared" si="3"/>
        <v>687087.7859999998</v>
      </c>
      <c r="AJ63" s="125">
        <f>Valores!$C$31</f>
        <v>35000</v>
      </c>
      <c r="AK63" s="125">
        <v>0</v>
      </c>
      <c r="AL63" s="125">
        <f>Valores!$C$90</f>
        <v>0</v>
      </c>
      <c r="AM63" s="125">
        <f>Valores!C$39*B63</f>
        <v>0</v>
      </c>
      <c r="AN63" s="125">
        <f>IF($F$3="NO",0,Valores!$C$57)</f>
        <v>0</v>
      </c>
      <c r="AO63" s="125">
        <f t="shared" si="4"/>
        <v>35000</v>
      </c>
      <c r="AP63" s="125">
        <f>AI63*Valores!$C$72</f>
        <v>-75579.65645999998</v>
      </c>
      <c r="AQ63" s="125">
        <f>IF(AI63&lt;Valores!$E$73,-0.02,IF(AI63&lt;Valores!$F$73,-0.03,-0.04))*AI63</f>
        <v>-13741.755719999997</v>
      </c>
      <c r="AR63" s="125">
        <f>AI63*Valores!$C$75</f>
        <v>-37789.82822999999</v>
      </c>
      <c r="AS63" s="125">
        <f>Valores!$C$102</f>
        <v>-1270.16</v>
      </c>
      <c r="AT63" s="125">
        <f>IF($F$5=0,Valores!$C$103,(Valores!$C$103+$F$5*(Valores!$C$103)))</f>
        <v>-11714</v>
      </c>
      <c r="AU63" s="125">
        <f t="shared" si="6"/>
        <v>581992.3855899998</v>
      </c>
      <c r="AV63" s="125">
        <f t="shared" si="0"/>
        <v>-75579.65645999998</v>
      </c>
      <c r="AW63" s="125">
        <f t="shared" si="7"/>
        <v>-13741.755719999997</v>
      </c>
      <c r="AX63" s="125">
        <f>AI63*Valores!$C$76</f>
        <v>-18551.370221999994</v>
      </c>
      <c r="AY63" s="125">
        <f>AI63*Valores!$C$77</f>
        <v>-2061.2633579999997</v>
      </c>
      <c r="AZ63" s="125">
        <f t="shared" si="5"/>
        <v>612153.7402399998</v>
      </c>
      <c r="BA63" s="125">
        <f>AI63*Valores!$C$79</f>
        <v>109934.04575999998</v>
      </c>
      <c r="BB63" s="125">
        <f>AI63*Valores!$C$80</f>
        <v>48096.145019999996</v>
      </c>
      <c r="BC63" s="125">
        <f>AI63*Valores!$C$81</f>
        <v>6870.877859999999</v>
      </c>
      <c r="BD63" s="125">
        <f>AI63*Valores!$C$83</f>
        <v>24048.072509999998</v>
      </c>
      <c r="BE63" s="125">
        <f>AI63*Valores!$C$85</f>
        <v>37102.74044399999</v>
      </c>
      <c r="BF63" s="125">
        <f>AI63*Valores!$C$84</f>
        <v>4122.526715999999</v>
      </c>
      <c r="BG63" s="126"/>
      <c r="BH63" s="126">
        <v>25</v>
      </c>
      <c r="BI63" s="123" t="s">
        <v>4</v>
      </c>
    </row>
    <row r="64" spans="1:61" s="110" customFormat="1" ht="11.25" customHeight="1">
      <c r="A64" s="123" t="s">
        <v>216</v>
      </c>
      <c r="B64" s="123">
        <v>1</v>
      </c>
      <c r="C64" s="126">
        <v>57</v>
      </c>
      <c r="D64" s="124" t="s">
        <v>217</v>
      </c>
      <c r="E64" s="192">
        <v>81</v>
      </c>
      <c r="F64" s="125">
        <f>ROUND(E64*Valores!$C$2,2)</f>
        <v>6705.18</v>
      </c>
      <c r="G64" s="192">
        <v>2094</v>
      </c>
      <c r="H64" s="125">
        <f>ROUND(G64*Valores!$C$2,2)</f>
        <v>173341.32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62614.93</v>
      </c>
      <c r="N64" s="125">
        <f t="shared" si="1"/>
        <v>0</v>
      </c>
      <c r="O64" s="125">
        <f>Valores!$C$9</f>
        <v>104016.7</v>
      </c>
      <c r="P64" s="125">
        <f>Valores!$D$5</f>
        <v>42317.14</v>
      </c>
      <c r="Q64" s="125">
        <f>Valores!$C$22</f>
        <v>37751.3</v>
      </c>
      <c r="R64" s="125">
        <f>IF($F$4="NO",Valores!$C$46,Valores!$C$46/2)</f>
        <v>31038.89</v>
      </c>
      <c r="S64" s="125">
        <f>Valores!$C$19</f>
        <v>39374.32</v>
      </c>
      <c r="T64" s="125">
        <f t="shared" si="8"/>
        <v>39374.32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Valores!$C$97</f>
        <v>69533</v>
      </c>
      <c r="AA64" s="125">
        <f>Valores!$C$25</f>
        <v>1730.69</v>
      </c>
      <c r="AB64" s="214">
        <v>0</v>
      </c>
      <c r="AC64" s="125">
        <f t="shared" si="2"/>
        <v>0</v>
      </c>
      <c r="AD64" s="125">
        <f>Valores!$C$26</f>
        <v>1730.69</v>
      </c>
      <c r="AE64" s="192">
        <v>0</v>
      </c>
      <c r="AF64" s="125">
        <f>ROUND(AE64*Valores!$C$2,2)</f>
        <v>0</v>
      </c>
      <c r="AG64" s="125">
        <f>ROUND(IF($F$4="NO",Valores!$C$64,Valores!$C$64/2),2)</f>
        <v>19786.28</v>
      </c>
      <c r="AH64" s="125">
        <f>SUM(F64,H64,J64,L64,M64,N64,O64,P64,Q64,R64,T64,U64,V64,X64,Y64,Z64,AA64,AC64,AD64,AF64,AG64)*Valores!$C$104</f>
        <v>58994.043999999994</v>
      </c>
      <c r="AI64" s="125">
        <f t="shared" si="3"/>
        <v>648934.4839999999</v>
      </c>
      <c r="AJ64" s="125">
        <f>Valores!$C$31</f>
        <v>35000</v>
      </c>
      <c r="AK64" s="125">
        <v>0</v>
      </c>
      <c r="AL64" s="125">
        <f>Valores!$C$90</f>
        <v>0</v>
      </c>
      <c r="AM64" s="125">
        <f>Valores!C$39*B64</f>
        <v>0</v>
      </c>
      <c r="AN64" s="125">
        <f>IF($F$3="NO",0,Valores!$C$57)</f>
        <v>0</v>
      </c>
      <c r="AO64" s="125">
        <f t="shared" si="4"/>
        <v>35000</v>
      </c>
      <c r="AP64" s="125">
        <f>AI64*Valores!$C$72</f>
        <v>-71382.79324</v>
      </c>
      <c r="AQ64" s="125">
        <f>IF(AI64&lt;Valores!$E$73,-0.02,IF(AI64&lt;Valores!$F$73,-0.03,-0.04))*AI64</f>
        <v>-12978.68968</v>
      </c>
      <c r="AR64" s="125">
        <f>AI64*Valores!$C$75</f>
        <v>-35691.39662</v>
      </c>
      <c r="AS64" s="125">
        <f>Valores!$C$102</f>
        <v>-1270.16</v>
      </c>
      <c r="AT64" s="125">
        <f>IF($F$5=0,Valores!$C$103,(Valores!$C$103+$F$5*(Valores!$C$103)))</f>
        <v>-11714</v>
      </c>
      <c r="AU64" s="125">
        <f t="shared" si="6"/>
        <v>550897.4444599999</v>
      </c>
      <c r="AV64" s="125">
        <f t="shared" si="0"/>
        <v>-71382.79324</v>
      </c>
      <c r="AW64" s="125">
        <f t="shared" si="7"/>
        <v>-12978.68968</v>
      </c>
      <c r="AX64" s="125">
        <f>AI64*Valores!$C$76</f>
        <v>-17521.231067999997</v>
      </c>
      <c r="AY64" s="125">
        <f>AI64*Valores!$C$77</f>
        <v>-1946.8034519999999</v>
      </c>
      <c r="AZ64" s="125">
        <f t="shared" si="5"/>
        <v>580104.96656</v>
      </c>
      <c r="BA64" s="125">
        <f>AI64*Valores!$C$79</f>
        <v>103829.51744</v>
      </c>
      <c r="BB64" s="125">
        <f>AI64*Valores!$C$80</f>
        <v>45425.41388</v>
      </c>
      <c r="BC64" s="125">
        <f>AI64*Valores!$C$81</f>
        <v>6489.34484</v>
      </c>
      <c r="BD64" s="125">
        <f>AI64*Valores!$C$83</f>
        <v>22712.70694</v>
      </c>
      <c r="BE64" s="125">
        <f>AI64*Valores!$C$85</f>
        <v>35042.462135999995</v>
      </c>
      <c r="BF64" s="125">
        <f>AI64*Valores!$C$84</f>
        <v>3893.6069039999998</v>
      </c>
      <c r="BG64" s="126"/>
      <c r="BH64" s="126">
        <v>30</v>
      </c>
      <c r="BI64" s="123" t="s">
        <v>4</v>
      </c>
    </row>
    <row r="65" spans="1:61" s="110" customFormat="1" ht="11.25" customHeight="1">
      <c r="A65" s="123" t="s">
        <v>218</v>
      </c>
      <c r="B65" s="123">
        <v>1</v>
      </c>
      <c r="C65" s="126">
        <v>58</v>
      </c>
      <c r="D65" s="124" t="s">
        <v>219</v>
      </c>
      <c r="E65" s="192">
        <v>80</v>
      </c>
      <c r="F65" s="125">
        <f>ROUND(E65*Valores!$C$2,2)</f>
        <v>6622.4</v>
      </c>
      <c r="G65" s="192">
        <v>2095</v>
      </c>
      <c r="H65" s="125">
        <f>ROUND(G65*Valores!$C$2,2)</f>
        <v>173424.1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62614.93</v>
      </c>
      <c r="N65" s="125">
        <f t="shared" si="1"/>
        <v>0</v>
      </c>
      <c r="O65" s="125">
        <f>Valores!$C$9</f>
        <v>104016.7</v>
      </c>
      <c r="P65" s="125">
        <f>Valores!$D$5</f>
        <v>42317.14</v>
      </c>
      <c r="Q65" s="125">
        <f>Valores!$C$22</f>
        <v>37751.3</v>
      </c>
      <c r="R65" s="125">
        <f>IF($F$4="NO",Valores!$C$46,Valores!$C$46/2)</f>
        <v>31038.89</v>
      </c>
      <c r="S65" s="125">
        <f>Valores!$C$19</f>
        <v>39374.32</v>
      </c>
      <c r="T65" s="125">
        <f t="shared" si="8"/>
        <v>39374.32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Valores!$C$97</f>
        <v>69533</v>
      </c>
      <c r="AA65" s="125">
        <f>Valores!$C$25</f>
        <v>1730.69</v>
      </c>
      <c r="AB65" s="214">
        <v>0</v>
      </c>
      <c r="AC65" s="125">
        <f t="shared" si="2"/>
        <v>0</v>
      </c>
      <c r="AD65" s="125">
        <f>Valores!$C$26</f>
        <v>1730.69</v>
      </c>
      <c r="AE65" s="192">
        <v>94</v>
      </c>
      <c r="AF65" s="125">
        <f>ROUND(AE65*Valores!$C$2,2)</f>
        <v>7781.32</v>
      </c>
      <c r="AG65" s="125">
        <f>ROUND(IF($F$4="NO",Valores!$C$64,Valores!$C$64/2),2)</f>
        <v>19786.28</v>
      </c>
      <c r="AH65" s="125">
        <f>SUM(F65,H65,J65,L65,M65,N65,O65,P65,Q65,R65,T65,U65,V65,X65,Y65,Z65,AA65,AC65,AD65,AF65,AG65)*Valores!$C$104</f>
        <v>59772.17599999999</v>
      </c>
      <c r="AI65" s="125">
        <f t="shared" si="3"/>
        <v>657493.9359999999</v>
      </c>
      <c r="AJ65" s="125">
        <f>Valores!$C$31</f>
        <v>35000</v>
      </c>
      <c r="AK65" s="125">
        <v>0</v>
      </c>
      <c r="AL65" s="125">
        <f>Valores!$C$90</f>
        <v>0</v>
      </c>
      <c r="AM65" s="125">
        <f>Valores!C$39*B65</f>
        <v>0</v>
      </c>
      <c r="AN65" s="125">
        <f>IF($F$3="NO",0,Valores!$C$57)</f>
        <v>0</v>
      </c>
      <c r="AO65" s="125">
        <f t="shared" si="4"/>
        <v>35000</v>
      </c>
      <c r="AP65" s="125">
        <f>AI65*Valores!$C$72</f>
        <v>-72324.33295999999</v>
      </c>
      <c r="AQ65" s="125">
        <f>IF(AI65&lt;Valores!$E$73,-0.02,IF(AI65&lt;Valores!$F$73,-0.03,-0.04))*AI65</f>
        <v>-13149.878719999997</v>
      </c>
      <c r="AR65" s="125">
        <f>AI65*Valores!$C$75</f>
        <v>-36162.16647999999</v>
      </c>
      <c r="AS65" s="125">
        <f>Valores!$C$102</f>
        <v>-1270.16</v>
      </c>
      <c r="AT65" s="125">
        <f>IF($F$5=0,Valores!$C$103,(Valores!$C$103+$F$5*(Valores!$C$103)))</f>
        <v>-11714</v>
      </c>
      <c r="AU65" s="125">
        <f t="shared" si="6"/>
        <v>557873.3978399999</v>
      </c>
      <c r="AV65" s="125">
        <f t="shared" si="0"/>
        <v>-72324.33295999999</v>
      </c>
      <c r="AW65" s="125">
        <f t="shared" si="7"/>
        <v>-13149.878719999997</v>
      </c>
      <c r="AX65" s="125">
        <f>AI65*Valores!$C$76</f>
        <v>-17752.336271999997</v>
      </c>
      <c r="AY65" s="125">
        <f>AI65*Valores!$C$77</f>
        <v>-1972.4818079999995</v>
      </c>
      <c r="AZ65" s="125">
        <f t="shared" si="5"/>
        <v>587294.9062399999</v>
      </c>
      <c r="BA65" s="125">
        <f>AI65*Valores!$C$79</f>
        <v>105199.02975999998</v>
      </c>
      <c r="BB65" s="125">
        <f>AI65*Valores!$C$80</f>
        <v>46024.57552</v>
      </c>
      <c r="BC65" s="125">
        <f>AI65*Valores!$C$81</f>
        <v>6574.9393599999985</v>
      </c>
      <c r="BD65" s="125">
        <f>AI65*Valores!$C$83</f>
        <v>23012.28776</v>
      </c>
      <c r="BE65" s="125">
        <f>AI65*Valores!$C$85</f>
        <v>35504.672543999994</v>
      </c>
      <c r="BF65" s="125">
        <f>AI65*Valores!$C$84</f>
        <v>3944.963615999999</v>
      </c>
      <c r="BG65" s="126"/>
      <c r="BH65" s="126">
        <v>25</v>
      </c>
      <c r="BI65" s="123" t="s">
        <v>4</v>
      </c>
    </row>
    <row r="66" spans="1:61" s="110" customFormat="1" ht="11.25" customHeight="1">
      <c r="A66" s="123" t="s">
        <v>220</v>
      </c>
      <c r="B66" s="123">
        <v>1</v>
      </c>
      <c r="C66" s="126">
        <v>59</v>
      </c>
      <c r="D66" s="124" t="s">
        <v>221</v>
      </c>
      <c r="E66" s="192">
        <v>79</v>
      </c>
      <c r="F66" s="125">
        <f>ROUND(E66*Valores!$C$2,2)</f>
        <v>6539.62</v>
      </c>
      <c r="G66" s="192">
        <v>1944</v>
      </c>
      <c r="H66" s="125">
        <f>ROUND(G66*Valores!$C$2,2)</f>
        <v>160924.32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59469.29</v>
      </c>
      <c r="N66" s="125">
        <f t="shared" si="1"/>
        <v>0</v>
      </c>
      <c r="O66" s="125">
        <f>Valores!$C$9</f>
        <v>104016.7</v>
      </c>
      <c r="P66" s="125">
        <f>Valores!$D$5</f>
        <v>42317.14</v>
      </c>
      <c r="Q66" s="125">
        <f>Valores!$C$22</f>
        <v>37751.3</v>
      </c>
      <c r="R66" s="125">
        <f>IF($F$4="NO",Valores!$C$46,Valores!$C$46/2)</f>
        <v>31038.89</v>
      </c>
      <c r="S66" s="125">
        <f>Valores!$C$19</f>
        <v>39374.32</v>
      </c>
      <c r="T66" s="125">
        <f t="shared" si="8"/>
        <v>39374.32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Valores!$C$97</f>
        <v>69533</v>
      </c>
      <c r="AA66" s="125">
        <f>Valores!$C$25</f>
        <v>1730.69</v>
      </c>
      <c r="AB66" s="214">
        <v>0</v>
      </c>
      <c r="AC66" s="125">
        <f t="shared" si="2"/>
        <v>0</v>
      </c>
      <c r="AD66" s="125">
        <f>Valores!$C$26</f>
        <v>1730.69</v>
      </c>
      <c r="AE66" s="192">
        <v>0</v>
      </c>
      <c r="AF66" s="125">
        <f>ROUND(AE66*Valores!$C$2,2)</f>
        <v>0</v>
      </c>
      <c r="AG66" s="125">
        <f>ROUND(IF($F$4="NO",Valores!$C$64,Valores!$C$64/2),2)</f>
        <v>19786.28</v>
      </c>
      <c r="AH66" s="125">
        <f>SUM(F66,H66,J66,L66,M66,N66,O66,P66,Q66,R66,T66,U66,V66,X66,Y66,Z66,AA66,AC66,AD66,AF66,AG66)*Valores!$C$104</f>
        <v>57421.224</v>
      </c>
      <c r="AI66" s="125">
        <f t="shared" si="3"/>
        <v>631633.464</v>
      </c>
      <c r="AJ66" s="125">
        <f>Valores!$C$31</f>
        <v>35000</v>
      </c>
      <c r="AK66" s="125">
        <v>0</v>
      </c>
      <c r="AL66" s="125">
        <f>Valores!$C$90</f>
        <v>0</v>
      </c>
      <c r="AM66" s="125">
        <f>Valores!C$39*B66</f>
        <v>0</v>
      </c>
      <c r="AN66" s="125">
        <f>IF($F$3="NO",0,Valores!$C$57)</f>
        <v>0</v>
      </c>
      <c r="AO66" s="125">
        <f t="shared" si="4"/>
        <v>35000</v>
      </c>
      <c r="AP66" s="125">
        <f>AI66*Valores!$C$72</f>
        <v>-69479.68104000001</v>
      </c>
      <c r="AQ66" s="125">
        <f>IF(AI66&lt;Valores!$E$73,-0.02,IF(AI66&lt;Valores!$F$73,-0.03,-0.04))*AI66</f>
        <v>-12632.669280000002</v>
      </c>
      <c r="AR66" s="125">
        <f>AI66*Valores!$C$75</f>
        <v>-34739.840520000005</v>
      </c>
      <c r="AS66" s="125">
        <f>Valores!$C$102</f>
        <v>-1270.16</v>
      </c>
      <c r="AT66" s="125">
        <f>IF($F$5=0,Valores!$C$103,(Valores!$C$103+$F$5*(Valores!$C$103)))</f>
        <v>-11714</v>
      </c>
      <c r="AU66" s="125">
        <f t="shared" si="6"/>
        <v>536797.11316</v>
      </c>
      <c r="AV66" s="125">
        <f t="shared" si="0"/>
        <v>-69479.68104000001</v>
      </c>
      <c r="AW66" s="125">
        <f t="shared" si="7"/>
        <v>-12632.669280000002</v>
      </c>
      <c r="AX66" s="125">
        <f>AI66*Valores!$C$76</f>
        <v>-17054.103528</v>
      </c>
      <c r="AY66" s="125">
        <f>AI66*Valores!$C$77</f>
        <v>-1894.9003920000002</v>
      </c>
      <c r="AZ66" s="125">
        <f t="shared" si="5"/>
        <v>565572.10976</v>
      </c>
      <c r="BA66" s="125">
        <f>AI66*Valores!$C$79</f>
        <v>101061.35424000002</v>
      </c>
      <c r="BB66" s="125">
        <f>AI66*Valores!$C$80</f>
        <v>44214.34248000001</v>
      </c>
      <c r="BC66" s="125">
        <f>AI66*Valores!$C$81</f>
        <v>6316.334640000001</v>
      </c>
      <c r="BD66" s="125">
        <f>AI66*Valores!$C$83</f>
        <v>22107.171240000003</v>
      </c>
      <c r="BE66" s="125">
        <f>AI66*Valores!$C$85</f>
        <v>34108.207056</v>
      </c>
      <c r="BF66" s="125">
        <f>AI66*Valores!$C$84</f>
        <v>3789.8007840000005</v>
      </c>
      <c r="BG66" s="126"/>
      <c r="BH66" s="126">
        <v>30</v>
      </c>
      <c r="BI66" s="123" t="s">
        <v>4</v>
      </c>
    </row>
    <row r="67" spans="1:61" s="110" customFormat="1" ht="11.25" customHeight="1">
      <c r="A67" s="123" t="s">
        <v>222</v>
      </c>
      <c r="B67" s="123">
        <v>1</v>
      </c>
      <c r="C67" s="126">
        <v>60</v>
      </c>
      <c r="D67" s="124" t="s">
        <v>223</v>
      </c>
      <c r="E67" s="192">
        <v>79</v>
      </c>
      <c r="F67" s="125">
        <f>ROUND(E67*Valores!$C$2,2)</f>
        <v>6539.62</v>
      </c>
      <c r="G67" s="192">
        <v>1944</v>
      </c>
      <c r="H67" s="125">
        <f>ROUND(G67*Valores!$C$2,2)</f>
        <v>160924.32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59469.29</v>
      </c>
      <c r="N67" s="125">
        <f t="shared" si="1"/>
        <v>0</v>
      </c>
      <c r="O67" s="125">
        <f>Valores!$C$9</f>
        <v>104016.7</v>
      </c>
      <c r="P67" s="125">
        <f>Valores!$D$5</f>
        <v>42317.14</v>
      </c>
      <c r="Q67" s="125">
        <f>Valores!$C$22</f>
        <v>37751.3</v>
      </c>
      <c r="R67" s="125">
        <f>IF($F$4="NO",Valores!$C$46,Valores!$C$46/2)</f>
        <v>31038.89</v>
      </c>
      <c r="S67" s="125">
        <f>Valores!$C$19</f>
        <v>39374.32</v>
      </c>
      <c r="T67" s="125">
        <f t="shared" si="8"/>
        <v>39374.32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Valores!$C$97</f>
        <v>69533</v>
      </c>
      <c r="AA67" s="125">
        <f>Valores!$C$25</f>
        <v>1730.69</v>
      </c>
      <c r="AB67" s="214">
        <v>0</v>
      </c>
      <c r="AC67" s="125">
        <f t="shared" si="2"/>
        <v>0</v>
      </c>
      <c r="AD67" s="125">
        <f>Valores!$C$26</f>
        <v>1730.69</v>
      </c>
      <c r="AE67" s="192">
        <v>94</v>
      </c>
      <c r="AF67" s="125">
        <f>ROUND(AE67*Valores!$C$2,2)</f>
        <v>7781.32</v>
      </c>
      <c r="AG67" s="125">
        <f>ROUND(IF($F$4="NO",Valores!$C$64,Valores!$C$64/2),2)</f>
        <v>19786.28</v>
      </c>
      <c r="AH67" s="125">
        <f>SUM(F67,H67,J67,L67,M67,N67,O67,P67,Q67,R67,T67,U67,V67,X67,Y67,Z67,AA67,AC67,AD67,AF67,AG67)*Valores!$C$104</f>
        <v>58199.356</v>
      </c>
      <c r="AI67" s="125">
        <f t="shared" si="3"/>
        <v>640192.916</v>
      </c>
      <c r="AJ67" s="125">
        <f>Valores!$C$31</f>
        <v>35000</v>
      </c>
      <c r="AK67" s="125">
        <v>0</v>
      </c>
      <c r="AL67" s="125">
        <f>Valores!$C$90</f>
        <v>0</v>
      </c>
      <c r="AM67" s="125">
        <f>Valores!C$39*B67</f>
        <v>0</v>
      </c>
      <c r="AN67" s="125">
        <f>IF($F$3="NO",0,Valores!$C$57)</f>
        <v>0</v>
      </c>
      <c r="AO67" s="125">
        <f t="shared" si="4"/>
        <v>35000</v>
      </c>
      <c r="AP67" s="125">
        <f>AI67*Valores!$C$72</f>
        <v>-70421.22076</v>
      </c>
      <c r="AQ67" s="125">
        <f>IF(AI67&lt;Valores!$E$73,-0.02,IF(AI67&lt;Valores!$F$73,-0.03,-0.04))*AI67</f>
        <v>-12803.85832</v>
      </c>
      <c r="AR67" s="125">
        <f>AI67*Valores!$C$75</f>
        <v>-35210.61038</v>
      </c>
      <c r="AS67" s="125">
        <f>Valores!$C$102</f>
        <v>-1270.16</v>
      </c>
      <c r="AT67" s="125">
        <f>IF($F$5=0,Valores!$C$103,(Valores!$C$103+$F$5*(Valores!$C$103)))</f>
        <v>-11714</v>
      </c>
      <c r="AU67" s="125">
        <f t="shared" si="6"/>
        <v>543773.06654</v>
      </c>
      <c r="AV67" s="125">
        <f t="shared" si="0"/>
        <v>-70421.22076</v>
      </c>
      <c r="AW67" s="125">
        <f t="shared" si="7"/>
        <v>-12803.85832</v>
      </c>
      <c r="AX67" s="125">
        <f>AI67*Valores!$C$76</f>
        <v>-17285.208732</v>
      </c>
      <c r="AY67" s="125">
        <f>AI67*Valores!$C$77</f>
        <v>-1920.578748</v>
      </c>
      <c r="AZ67" s="125">
        <f t="shared" si="5"/>
        <v>572762.04944</v>
      </c>
      <c r="BA67" s="125">
        <f>AI67*Valores!$C$79</f>
        <v>102430.86656</v>
      </c>
      <c r="BB67" s="125">
        <f>AI67*Valores!$C$80</f>
        <v>44813.504120000005</v>
      </c>
      <c r="BC67" s="125">
        <f>AI67*Valores!$C$81</f>
        <v>6401.92916</v>
      </c>
      <c r="BD67" s="125">
        <f>AI67*Valores!$C$83</f>
        <v>22406.752060000003</v>
      </c>
      <c r="BE67" s="125">
        <f>AI67*Valores!$C$85</f>
        <v>34570.417464</v>
      </c>
      <c r="BF67" s="125">
        <f>AI67*Valores!$C$84</f>
        <v>3841.157496</v>
      </c>
      <c r="BG67" s="126"/>
      <c r="BH67" s="126">
        <v>25</v>
      </c>
      <c r="BI67" s="123" t="s">
        <v>8</v>
      </c>
    </row>
    <row r="68" spans="1:61" s="110" customFormat="1" ht="11.25" customHeight="1">
      <c r="A68" s="123" t="s">
        <v>224</v>
      </c>
      <c r="B68" s="123">
        <v>1</v>
      </c>
      <c r="C68" s="126">
        <v>61</v>
      </c>
      <c r="D68" s="124" t="s">
        <v>225</v>
      </c>
      <c r="E68" s="192">
        <v>100</v>
      </c>
      <c r="F68" s="125">
        <f>ROUND(E68*Valores!$C$2,2)</f>
        <v>8278</v>
      </c>
      <c r="G68" s="192">
        <v>2864</v>
      </c>
      <c r="H68" s="125">
        <f>ROUND(G68*Valores!$C$2,2)</f>
        <v>237081.92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78532.43</v>
      </c>
      <c r="N68" s="125">
        <f t="shared" si="1"/>
        <v>0</v>
      </c>
      <c r="O68" s="125">
        <f>Valores!$C$9</f>
        <v>104016.7</v>
      </c>
      <c r="P68" s="125">
        <f>Valores!$D$5</f>
        <v>42317.14</v>
      </c>
      <c r="Q68" s="125">
        <v>0</v>
      </c>
      <c r="R68" s="125">
        <f>IF($F$4="NO",Valores!$C$45,Valores!$C$45/2)</f>
        <v>29395.49</v>
      </c>
      <c r="S68" s="125">
        <f>Valores!$C$19</f>
        <v>39374.32</v>
      </c>
      <c r="T68" s="125">
        <f t="shared" si="8"/>
        <v>39374.32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Valores!$C$96</f>
        <v>57944.18</v>
      </c>
      <c r="AA68" s="125">
        <f>Valores!$C$25</f>
        <v>1730.69</v>
      </c>
      <c r="AB68" s="214">
        <v>0</v>
      </c>
      <c r="AC68" s="125">
        <f t="shared" si="2"/>
        <v>0</v>
      </c>
      <c r="AD68" s="125">
        <f>Valores!$C$26</f>
        <v>1730.69</v>
      </c>
      <c r="AE68" s="192">
        <v>0</v>
      </c>
      <c r="AF68" s="125">
        <f>ROUND(AE68*Valores!$C$2,2)</f>
        <v>0</v>
      </c>
      <c r="AG68" s="125">
        <f>ROUND(IF($F$4="NO",Valores!$C$64,Valores!$C$64/2),2)</f>
        <v>19786.28</v>
      </c>
      <c r="AH68" s="125">
        <f>SUM(F68,H68,J68,L68,M68,N68,O68,P68,Q68,R68,T68,U68,V68,X68,Y68,Z68,AA68,AC68,AD68,AF68,AG68)*Valores!$C$104</f>
        <v>62018.784</v>
      </c>
      <c r="AI68" s="125">
        <f t="shared" si="3"/>
        <v>682206.624</v>
      </c>
      <c r="AJ68" s="125">
        <f>Valores!$C$32</f>
        <v>70000</v>
      </c>
      <c r="AK68" s="125">
        <v>0</v>
      </c>
      <c r="AL68" s="125">
        <f>Valores!$C$89</f>
        <v>0</v>
      </c>
      <c r="AM68" s="125">
        <f>Valores!C$39*B68</f>
        <v>0</v>
      </c>
      <c r="AN68" s="125">
        <f>IF($F$3="NO",0,Valores!$C$56)</f>
        <v>0</v>
      </c>
      <c r="AO68" s="125">
        <f t="shared" si="4"/>
        <v>70000</v>
      </c>
      <c r="AP68" s="125">
        <f>AI68*Valores!$C$72</f>
        <v>-75042.72864</v>
      </c>
      <c r="AQ68" s="125">
        <f>IF(AI68&lt;Valores!$E$73,-0.02,IF(AI68&lt;Valores!$F$73,-0.03,-0.04))*AI68</f>
        <v>-13644.13248</v>
      </c>
      <c r="AR68" s="125">
        <f>AI68*Valores!$C$75</f>
        <v>-37521.36432</v>
      </c>
      <c r="AS68" s="125">
        <f>Valores!$C$102</f>
        <v>-1270.16</v>
      </c>
      <c r="AT68" s="125">
        <f>IF($F$5=0,Valores!$C$103,(Valores!$C$103+$F$5*(Valores!$C$103)))</f>
        <v>-11714</v>
      </c>
      <c r="AU68" s="125">
        <f t="shared" si="6"/>
        <v>613014.23856</v>
      </c>
      <c r="AV68" s="125">
        <f t="shared" si="0"/>
        <v>-75042.72864</v>
      </c>
      <c r="AW68" s="125">
        <f t="shared" si="7"/>
        <v>-13644.13248</v>
      </c>
      <c r="AX68" s="125">
        <f>AI68*Valores!$C$76</f>
        <v>-18419.578847999997</v>
      </c>
      <c r="AY68" s="125">
        <f>AI68*Valores!$C$77</f>
        <v>-2046.619872</v>
      </c>
      <c r="AZ68" s="125">
        <f t="shared" si="5"/>
        <v>643053.56416</v>
      </c>
      <c r="BA68" s="125">
        <f>AI68*Valores!$C$79</f>
        <v>109153.05984</v>
      </c>
      <c r="BB68" s="125">
        <f>AI68*Valores!$C$80</f>
        <v>47754.46368</v>
      </c>
      <c r="BC68" s="125">
        <f>AI68*Valores!$C$81</f>
        <v>6822.06624</v>
      </c>
      <c r="BD68" s="125">
        <f>AI68*Valores!$C$83</f>
        <v>23877.23184</v>
      </c>
      <c r="BE68" s="125">
        <f>AI68*Valores!$C$85</f>
        <v>36839.157695999995</v>
      </c>
      <c r="BF68" s="125">
        <f>AI68*Valores!$C$84</f>
        <v>4093.239744</v>
      </c>
      <c r="BG68" s="126"/>
      <c r="BH68" s="126"/>
      <c r="BI68" s="123" t="s">
        <v>4</v>
      </c>
    </row>
    <row r="69" spans="1:61" s="110" customFormat="1" ht="11.25" customHeight="1">
      <c r="A69" s="123" t="s">
        <v>226</v>
      </c>
      <c r="B69" s="123">
        <v>1</v>
      </c>
      <c r="C69" s="126">
        <v>62</v>
      </c>
      <c r="D69" s="124" t="s">
        <v>227</v>
      </c>
      <c r="E69" s="192">
        <v>79</v>
      </c>
      <c r="F69" s="125">
        <f>ROUND(E69*Valores!$C$2,2)</f>
        <v>6539.62</v>
      </c>
      <c r="G69" s="192">
        <v>2161</v>
      </c>
      <c r="H69" s="125">
        <f>ROUND(G69*Valores!$C$2,2)</f>
        <v>178887.58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63960.1</v>
      </c>
      <c r="N69" s="125">
        <f t="shared" si="1"/>
        <v>0</v>
      </c>
      <c r="O69" s="125">
        <f>Valores!$C$9</f>
        <v>104016.7</v>
      </c>
      <c r="P69" s="125">
        <f>Valores!$D$5</f>
        <v>42317.14</v>
      </c>
      <c r="Q69" s="125">
        <f>Valores!$C$22</f>
        <v>37751.3</v>
      </c>
      <c r="R69" s="125">
        <f>IF($F$4="NO",Valores!$C$46,Valores!$C$46/2)</f>
        <v>31038.89</v>
      </c>
      <c r="S69" s="125">
        <f>Valores!$C$19</f>
        <v>39374.32</v>
      </c>
      <c r="T69" s="125">
        <f t="shared" si="8"/>
        <v>39374.32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Valores!$C$97</f>
        <v>69533</v>
      </c>
      <c r="AA69" s="125">
        <f>Valores!$C$25</f>
        <v>1730.69</v>
      </c>
      <c r="AB69" s="214">
        <v>0</v>
      </c>
      <c r="AC69" s="125">
        <f t="shared" si="2"/>
        <v>0</v>
      </c>
      <c r="AD69" s="125">
        <f>Valores!$C$26</f>
        <v>1730.69</v>
      </c>
      <c r="AE69" s="192">
        <v>0</v>
      </c>
      <c r="AF69" s="125">
        <f>ROUND(AE69*Valores!$C$2,2)</f>
        <v>0</v>
      </c>
      <c r="AG69" s="125">
        <f>ROUND(IF($F$4="NO",Valores!$C$64,Valores!$C$64/2),2)</f>
        <v>19786.28</v>
      </c>
      <c r="AH69" s="125">
        <f>SUM(F69,H69,J69,L69,M69,N69,O69,P69,Q69,R69,T69,U69,V69,X69,Y69,Z69,AA69,AC69,AD69,AF69,AG69)*Valores!$C$104</f>
        <v>59666.630999999994</v>
      </c>
      <c r="AI69" s="125">
        <f t="shared" si="3"/>
        <v>656332.9409999999</v>
      </c>
      <c r="AJ69" s="125">
        <f>Valores!$C$31</f>
        <v>35000</v>
      </c>
      <c r="AK69" s="125">
        <v>0</v>
      </c>
      <c r="AL69" s="125">
        <f>Valores!$C$90</f>
        <v>0</v>
      </c>
      <c r="AM69" s="125">
        <f>Valores!C$39*B69</f>
        <v>0</v>
      </c>
      <c r="AN69" s="125">
        <f>IF($F$3="NO",0,Valores!$C$57)</f>
        <v>0</v>
      </c>
      <c r="AO69" s="125">
        <f t="shared" si="4"/>
        <v>35000</v>
      </c>
      <c r="AP69" s="125">
        <f>AI69*Valores!$C$72</f>
        <v>-72196.62350999999</v>
      </c>
      <c r="AQ69" s="125">
        <f>IF(AI69&lt;Valores!$E$73,-0.02,IF(AI69&lt;Valores!$F$73,-0.03,-0.04))*AI69</f>
        <v>-13126.658819999997</v>
      </c>
      <c r="AR69" s="125">
        <f>AI69*Valores!$C$75</f>
        <v>-36098.311754999995</v>
      </c>
      <c r="AS69" s="125">
        <f>Valores!$C$102</f>
        <v>-1270.16</v>
      </c>
      <c r="AT69" s="125">
        <f>IF($F$5=0,Valores!$C$103,(Valores!$C$103+$F$5*(Valores!$C$103)))</f>
        <v>-11714</v>
      </c>
      <c r="AU69" s="125">
        <f t="shared" si="6"/>
        <v>556927.1869149999</v>
      </c>
      <c r="AV69" s="125">
        <f t="shared" si="0"/>
        <v>-72196.62350999999</v>
      </c>
      <c r="AW69" s="125">
        <f t="shared" si="7"/>
        <v>-13126.658819999997</v>
      </c>
      <c r="AX69" s="125">
        <f>AI69*Valores!$C$76</f>
        <v>-17720.989406999997</v>
      </c>
      <c r="AY69" s="125">
        <f>AI69*Valores!$C$77</f>
        <v>-1968.9988229999997</v>
      </c>
      <c r="AZ69" s="125">
        <f t="shared" si="5"/>
        <v>586319.6704399999</v>
      </c>
      <c r="BA69" s="125">
        <f>AI69*Valores!$C$79</f>
        <v>105013.27055999998</v>
      </c>
      <c r="BB69" s="125">
        <f>AI69*Valores!$C$80</f>
        <v>45943.30587</v>
      </c>
      <c r="BC69" s="125">
        <f>AI69*Valores!$C$81</f>
        <v>6563.3294099999985</v>
      </c>
      <c r="BD69" s="125">
        <f>AI69*Valores!$C$83</f>
        <v>22971.652935</v>
      </c>
      <c r="BE69" s="125">
        <f>AI69*Valores!$C$85</f>
        <v>35441.978813999995</v>
      </c>
      <c r="BF69" s="125">
        <f>AI69*Valores!$C$84</f>
        <v>3937.9976459999993</v>
      </c>
      <c r="BG69" s="126"/>
      <c r="BH69" s="126">
        <v>30</v>
      </c>
      <c r="BI69" s="123" t="s">
        <v>4</v>
      </c>
    </row>
    <row r="70" spans="1:61" s="110" customFormat="1" ht="11.25" customHeight="1">
      <c r="A70" s="123" t="s">
        <v>228</v>
      </c>
      <c r="B70" s="123">
        <v>1</v>
      </c>
      <c r="C70" s="126">
        <v>63</v>
      </c>
      <c r="D70" s="124" t="s">
        <v>229</v>
      </c>
      <c r="E70" s="192">
        <v>90</v>
      </c>
      <c r="F70" s="125">
        <f>ROUND(E70*Valores!$C$2,2)</f>
        <v>7450.2</v>
      </c>
      <c r="G70" s="192">
        <v>3010</v>
      </c>
      <c r="H70" s="125">
        <f>ROUND(G70*Valores!$C$2,2)</f>
        <v>249167.8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83413.61</v>
      </c>
      <c r="N70" s="125">
        <f t="shared" si="1"/>
        <v>0</v>
      </c>
      <c r="O70" s="125">
        <f>Valores!$C$9</f>
        <v>104016.7</v>
      </c>
      <c r="P70" s="125">
        <f>Valores!$D$5</f>
        <v>42317.14</v>
      </c>
      <c r="Q70" s="125">
        <f>Valores!$C$22</f>
        <v>37751.3</v>
      </c>
      <c r="R70" s="125">
        <f>IF($F$4="NO",Valores!$C$49,Valores!$C$49/2)</f>
        <v>37662.13</v>
      </c>
      <c r="S70" s="125">
        <f>Valores!$C$19</f>
        <v>39374.32</v>
      </c>
      <c r="T70" s="125">
        <f t="shared" si="8"/>
        <v>39374.32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Valores!$C$97</f>
        <v>69533</v>
      </c>
      <c r="AA70" s="125">
        <f>Valores!$C$25</f>
        <v>1730.69</v>
      </c>
      <c r="AB70" s="214">
        <v>0</v>
      </c>
      <c r="AC70" s="125">
        <f t="shared" si="2"/>
        <v>0</v>
      </c>
      <c r="AD70" s="125">
        <f>Valores!$C$26</f>
        <v>1730.69</v>
      </c>
      <c r="AE70" s="192">
        <v>0</v>
      </c>
      <c r="AF70" s="125">
        <f>ROUND(AE70*Valores!$C$2,2)</f>
        <v>0</v>
      </c>
      <c r="AG70" s="125">
        <f>ROUND(IF($F$4="NO",Valores!$C$64,Valores!$C$64/2),2)</f>
        <v>19786.28</v>
      </c>
      <c r="AH70" s="125">
        <f>SUM(F70,H70,J70,L70,M70,N70,O70,P70,Q70,R70,T70,U70,V70,X70,Y70,Z70,AA70,AC70,AD70,AF70,AG70)*Valores!$C$104</f>
        <v>69393.38599999998</v>
      </c>
      <c r="AI70" s="125">
        <f t="shared" si="3"/>
        <v>763327.2459999998</v>
      </c>
      <c r="AJ70" s="125">
        <f>Valores!$C$32</f>
        <v>70000</v>
      </c>
      <c r="AK70" s="125">
        <v>0</v>
      </c>
      <c r="AL70" s="125">
        <f>Valores!$C$90</f>
        <v>0</v>
      </c>
      <c r="AM70" s="125">
        <f>Valores!C$39*B70</f>
        <v>0</v>
      </c>
      <c r="AN70" s="125">
        <f>IF($F$3="NO",0,Valores!$C$57)</f>
        <v>0</v>
      </c>
      <c r="AO70" s="125">
        <f t="shared" si="4"/>
        <v>70000</v>
      </c>
      <c r="AP70" s="125">
        <f>AI70*Valores!$C$72</f>
        <v>-83965.99705999998</v>
      </c>
      <c r="AQ70" s="125">
        <f>IF(AI70&lt;Valores!$E$73,-0.02,IF(AI70&lt;Valores!$F$73,-0.03,-0.04))*AI70</f>
        <v>-22899.817379999993</v>
      </c>
      <c r="AR70" s="125">
        <f>AI70*Valores!$C$75</f>
        <v>-41982.99852999999</v>
      </c>
      <c r="AS70" s="125">
        <f>Valores!$C$102</f>
        <v>-1270.16</v>
      </c>
      <c r="AT70" s="125">
        <f>IF($F$5=0,Valores!$C$103,(Valores!$C$103+$F$5*(Valores!$C$103)))</f>
        <v>-11714</v>
      </c>
      <c r="AU70" s="125">
        <f t="shared" si="6"/>
        <v>671494.2730299998</v>
      </c>
      <c r="AV70" s="125">
        <f t="shared" si="0"/>
        <v>-83965.99705999998</v>
      </c>
      <c r="AW70" s="125">
        <f t="shared" si="7"/>
        <v>-22899.817379999993</v>
      </c>
      <c r="AX70" s="125">
        <f>AI70*Valores!$C$76</f>
        <v>-20609.835641999995</v>
      </c>
      <c r="AY70" s="125">
        <f>AI70*Valores!$C$77</f>
        <v>-2289.9817379999995</v>
      </c>
      <c r="AZ70" s="125">
        <f t="shared" si="5"/>
        <v>703561.6141799998</v>
      </c>
      <c r="BA70" s="125">
        <f>AI70*Valores!$C$79</f>
        <v>122132.35935999997</v>
      </c>
      <c r="BB70" s="125">
        <f>AI70*Valores!$C$80</f>
        <v>53432.907219999994</v>
      </c>
      <c r="BC70" s="125">
        <f>AI70*Valores!$C$81</f>
        <v>7633.272459999998</v>
      </c>
      <c r="BD70" s="125">
        <f>AI70*Valores!$C$83</f>
        <v>26716.453609999997</v>
      </c>
      <c r="BE70" s="125">
        <f>AI70*Valores!$C$85</f>
        <v>41219.67128399999</v>
      </c>
      <c r="BF70" s="125">
        <f>AI70*Valores!$C$84</f>
        <v>4579.963475999999</v>
      </c>
      <c r="BG70" s="126"/>
      <c r="BH70" s="126"/>
      <c r="BI70" s="123" t="s">
        <v>4</v>
      </c>
    </row>
    <row r="71" spans="1:61" s="110" customFormat="1" ht="11.25" customHeight="1">
      <c r="A71" s="123" t="s">
        <v>230</v>
      </c>
      <c r="B71" s="123">
        <v>1</v>
      </c>
      <c r="C71" s="126">
        <v>64</v>
      </c>
      <c r="D71" s="124" t="s">
        <v>231</v>
      </c>
      <c r="E71" s="192">
        <v>78</v>
      </c>
      <c r="F71" s="125">
        <f>ROUND(E71*Valores!$C$2,2)</f>
        <v>6456.84</v>
      </c>
      <c r="G71" s="192">
        <v>2162</v>
      </c>
      <c r="H71" s="125">
        <f>ROUND(G71*Valores!$C$2,2)</f>
        <v>178970.36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63960.1</v>
      </c>
      <c r="N71" s="125">
        <f t="shared" si="1"/>
        <v>0</v>
      </c>
      <c r="O71" s="125">
        <f>Valores!$C$9</f>
        <v>104016.7</v>
      </c>
      <c r="P71" s="125">
        <f>Valores!$D$5</f>
        <v>42317.14</v>
      </c>
      <c r="Q71" s="125">
        <f>Valores!$C$22</f>
        <v>37751.3</v>
      </c>
      <c r="R71" s="125">
        <f>IF($F$4="NO",Valores!$C$46,Valores!$C$46/2)</f>
        <v>31038.89</v>
      </c>
      <c r="S71" s="125">
        <f>Valores!$C$19</f>
        <v>39374.32</v>
      </c>
      <c r="T71" s="125">
        <f t="shared" si="8"/>
        <v>39374.32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Valores!$C$97</f>
        <v>69533</v>
      </c>
      <c r="AA71" s="125">
        <f>Valores!$C$25</f>
        <v>1730.69</v>
      </c>
      <c r="AB71" s="214">
        <v>0</v>
      </c>
      <c r="AC71" s="125">
        <f t="shared" si="2"/>
        <v>0</v>
      </c>
      <c r="AD71" s="125">
        <f>Valores!$C$26</f>
        <v>1730.69</v>
      </c>
      <c r="AE71" s="192">
        <v>0</v>
      </c>
      <c r="AF71" s="125">
        <f>ROUND(AE71*Valores!$C$2,2)</f>
        <v>0</v>
      </c>
      <c r="AG71" s="125">
        <f>ROUND(IF($F$4="NO",Valores!$C$64,Valores!$C$64/2),2)</f>
        <v>19786.28</v>
      </c>
      <c r="AH71" s="125">
        <f>SUM(F71,H71,J71,L71,M71,N71,O71,P71,Q71,R71,T71,U71,V71,X71,Y71,Z71,AA71,AC71,AD71,AF71,AG71)*Valores!$C$104</f>
        <v>59666.630999999994</v>
      </c>
      <c r="AI71" s="125">
        <f t="shared" si="3"/>
        <v>656332.9409999999</v>
      </c>
      <c r="AJ71" s="125">
        <f>Valores!$C$31</f>
        <v>35000</v>
      </c>
      <c r="AK71" s="125">
        <v>0</v>
      </c>
      <c r="AL71" s="125">
        <f>Valores!$C$90</f>
        <v>0</v>
      </c>
      <c r="AM71" s="125">
        <f>Valores!C$39*B71</f>
        <v>0</v>
      </c>
      <c r="AN71" s="125">
        <f>IF($F$3="NO",0,Valores!$C$57)</f>
        <v>0</v>
      </c>
      <c r="AO71" s="125">
        <f t="shared" si="4"/>
        <v>35000</v>
      </c>
      <c r="AP71" s="125">
        <f>AI71*Valores!$C$72</f>
        <v>-72196.62350999999</v>
      </c>
      <c r="AQ71" s="125">
        <f>IF(AI71&lt;Valores!$E$73,-0.02,IF(AI71&lt;Valores!$F$73,-0.03,-0.04))*AI71</f>
        <v>-13126.658819999997</v>
      </c>
      <c r="AR71" s="125">
        <f>AI71*Valores!$C$75</f>
        <v>-36098.311754999995</v>
      </c>
      <c r="AS71" s="125">
        <f>Valores!$C$102</f>
        <v>-1270.16</v>
      </c>
      <c r="AT71" s="125">
        <f>IF($F$5=0,Valores!$C$103,(Valores!$C$103+$F$5*(Valores!$C$103)))</f>
        <v>-11714</v>
      </c>
      <c r="AU71" s="125">
        <f t="shared" si="6"/>
        <v>556927.1869149999</v>
      </c>
      <c r="AV71" s="125">
        <f aca="true" t="shared" si="11" ref="AV71:AV133">AP71</f>
        <v>-72196.62350999999</v>
      </c>
      <c r="AW71" s="125">
        <f t="shared" si="7"/>
        <v>-13126.658819999997</v>
      </c>
      <c r="AX71" s="125">
        <f>AI71*Valores!$C$76</f>
        <v>-17720.989406999997</v>
      </c>
      <c r="AY71" s="125">
        <f>AI71*Valores!$C$77</f>
        <v>-1968.9988229999997</v>
      </c>
      <c r="AZ71" s="125">
        <f t="shared" si="5"/>
        <v>586319.6704399999</v>
      </c>
      <c r="BA71" s="125">
        <f>AI71*Valores!$C$79</f>
        <v>105013.27055999998</v>
      </c>
      <c r="BB71" s="125">
        <f>AI71*Valores!$C$80</f>
        <v>45943.30587</v>
      </c>
      <c r="BC71" s="125">
        <f>AI71*Valores!$C$81</f>
        <v>6563.3294099999985</v>
      </c>
      <c r="BD71" s="125">
        <f>AI71*Valores!$C$83</f>
        <v>22971.652935</v>
      </c>
      <c r="BE71" s="125">
        <f>AI71*Valores!$C$85</f>
        <v>35441.978813999995</v>
      </c>
      <c r="BF71" s="125">
        <f>AI71*Valores!$C$84</f>
        <v>3937.9976459999993</v>
      </c>
      <c r="BG71" s="126"/>
      <c r="BH71" s="126">
        <v>25</v>
      </c>
      <c r="BI71" s="123" t="s">
        <v>4</v>
      </c>
    </row>
    <row r="72" spans="1:61" s="110" customFormat="1" ht="11.25" customHeight="1">
      <c r="A72" s="123" t="s">
        <v>232</v>
      </c>
      <c r="B72" s="123">
        <v>1</v>
      </c>
      <c r="C72" s="126">
        <v>65</v>
      </c>
      <c r="D72" s="124" t="s">
        <v>233</v>
      </c>
      <c r="E72" s="192">
        <v>90</v>
      </c>
      <c r="F72" s="125">
        <f>ROUND(E72*Valores!$C$2,2)</f>
        <v>7450.2</v>
      </c>
      <c r="G72" s="192">
        <v>2800</v>
      </c>
      <c r="H72" s="125">
        <f>ROUND(G72*Valores!$C$2,2)</f>
        <v>231784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79067.66</v>
      </c>
      <c r="N72" s="125">
        <f aca="true" t="shared" si="12" ref="N72:N135">ROUND(SUM(F72,H72,J72,L72,X72,R72)*$H$2,2)</f>
        <v>0</v>
      </c>
      <c r="O72" s="125">
        <f>Valores!$C$9</f>
        <v>104016.7</v>
      </c>
      <c r="P72" s="125">
        <f>Valores!$D$5</f>
        <v>42317.14</v>
      </c>
      <c r="Q72" s="125">
        <v>0</v>
      </c>
      <c r="R72" s="125">
        <f>IF($F$4="NO",Valores!$C$49,Valores!$C$49/2)</f>
        <v>37662.13</v>
      </c>
      <c r="S72" s="125">
        <f>Valores!$C$19</f>
        <v>39374.32</v>
      </c>
      <c r="T72" s="125">
        <f t="shared" si="8"/>
        <v>39374.32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Valores!$C$97</f>
        <v>69533</v>
      </c>
      <c r="AA72" s="125">
        <f>Valores!$C$25</f>
        <v>1730.69</v>
      </c>
      <c r="AB72" s="214">
        <v>0</v>
      </c>
      <c r="AC72" s="125">
        <f aca="true" t="shared" si="13" ref="AC72:AC135">ROUND(SUM(F72,H72,J72,X72,R72)*AB72,2)</f>
        <v>0</v>
      </c>
      <c r="AD72" s="125">
        <f>Valores!$C$26</f>
        <v>1730.69</v>
      </c>
      <c r="AE72" s="192">
        <v>0</v>
      </c>
      <c r="AF72" s="125">
        <f>ROUND(AE72*Valores!$C$2,2)</f>
        <v>0</v>
      </c>
      <c r="AG72" s="125">
        <f>ROUND(IF($F$4="NO",Valores!$C$64,Valores!$C$64/2),2)</f>
        <v>19786.28</v>
      </c>
      <c r="AH72" s="125">
        <f>SUM(F72,H72,J72,L72,M72,N72,O72,P72,Q72,R72,T72,U72,V72,X72,Y72,Z72,AA72,AC72,AD72,AF72,AG72)*Valores!$C$104</f>
        <v>63445.280999999995</v>
      </c>
      <c r="AI72" s="125">
        <f t="shared" si="3"/>
        <v>697898.0909999999</v>
      </c>
      <c r="AJ72" s="125">
        <f>Valores!$C$31</f>
        <v>35000</v>
      </c>
      <c r="AK72" s="125">
        <v>0</v>
      </c>
      <c r="AL72" s="125">
        <f>Valores!$C$90</f>
        <v>0</v>
      </c>
      <c r="AM72" s="125">
        <f>Valores!C$39*B72</f>
        <v>0</v>
      </c>
      <c r="AN72" s="125">
        <f>IF($F$3="NO",0,Valores!$C$57)</f>
        <v>0</v>
      </c>
      <c r="AO72" s="125">
        <f aca="true" t="shared" si="14" ref="AO72:AO135">SUM(AJ72:AN72)</f>
        <v>35000</v>
      </c>
      <c r="AP72" s="125">
        <f>AI72*Valores!$C$72</f>
        <v>-76768.79000999998</v>
      </c>
      <c r="AQ72" s="125">
        <f>IF(AI72&lt;Valores!$E$73,-0.02,IF(AI72&lt;Valores!$F$73,-0.03,-0.04))*AI72</f>
        <v>-13957.961819999999</v>
      </c>
      <c r="AR72" s="125">
        <f>AI72*Valores!$C$75</f>
        <v>-38384.39500499999</v>
      </c>
      <c r="AS72" s="125">
        <f>Valores!$C$102</f>
        <v>-1270.16</v>
      </c>
      <c r="AT72" s="125">
        <f>IF($F$5=0,Valores!$C$103,(Valores!$C$103+$F$5*(Valores!$C$103)))</f>
        <v>-11714</v>
      </c>
      <c r="AU72" s="125">
        <f t="shared" si="6"/>
        <v>590802.784165</v>
      </c>
      <c r="AV72" s="125">
        <f t="shared" si="11"/>
        <v>-76768.79000999998</v>
      </c>
      <c r="AW72" s="125">
        <f t="shared" si="7"/>
        <v>-13957.961819999999</v>
      </c>
      <c r="AX72" s="125">
        <f>AI72*Valores!$C$76</f>
        <v>-18843.248456999998</v>
      </c>
      <c r="AY72" s="125">
        <f>AI72*Valores!$C$77</f>
        <v>-2093.6942729999996</v>
      </c>
      <c r="AZ72" s="125">
        <f aca="true" t="shared" si="15" ref="AZ72:AZ135">AI72+AO72+SUM(AV72:AY72)</f>
        <v>621234.3964399999</v>
      </c>
      <c r="BA72" s="125">
        <f>AI72*Valores!$C$79</f>
        <v>111663.69455999999</v>
      </c>
      <c r="BB72" s="125">
        <f>AI72*Valores!$C$80</f>
        <v>48852.866369999996</v>
      </c>
      <c r="BC72" s="125">
        <f>AI72*Valores!$C$81</f>
        <v>6978.980909999999</v>
      </c>
      <c r="BD72" s="125">
        <f>AI72*Valores!$C$83</f>
        <v>24426.433184999998</v>
      </c>
      <c r="BE72" s="125">
        <f>AI72*Valores!$C$85</f>
        <v>37686.496913999996</v>
      </c>
      <c r="BF72" s="125">
        <f>AI72*Valores!$C$84</f>
        <v>4187.388545999999</v>
      </c>
      <c r="BG72" s="126"/>
      <c r="BH72" s="126"/>
      <c r="BI72" s="123" t="s">
        <v>8</v>
      </c>
    </row>
    <row r="73" spans="1:61" s="110" customFormat="1" ht="11.25" customHeight="1">
      <c r="A73" s="123" t="s">
        <v>234</v>
      </c>
      <c r="B73" s="123">
        <v>1</v>
      </c>
      <c r="C73" s="126">
        <v>66</v>
      </c>
      <c r="D73" s="124" t="s">
        <v>235</v>
      </c>
      <c r="E73" s="192">
        <v>79</v>
      </c>
      <c r="F73" s="125">
        <f>ROUND(E73*Valores!$C$2,2)</f>
        <v>6539.62</v>
      </c>
      <c r="G73" s="192">
        <v>2161</v>
      </c>
      <c r="H73" s="125">
        <f>ROUND(G73*Valores!$C$2,2)</f>
        <v>178887.58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63960.1</v>
      </c>
      <c r="N73" s="125">
        <f t="shared" si="12"/>
        <v>0</v>
      </c>
      <c r="O73" s="125">
        <f>Valores!$C$9</f>
        <v>104016.7</v>
      </c>
      <c r="P73" s="125">
        <f>Valores!$D$5</f>
        <v>42317.14</v>
      </c>
      <c r="Q73" s="125">
        <f>Valores!$C$22</f>
        <v>37751.3</v>
      </c>
      <c r="R73" s="125">
        <f>IF($F$4="NO",Valores!$C$46,Valores!$C$46/2)</f>
        <v>31038.89</v>
      </c>
      <c r="S73" s="125">
        <f>Valores!$C$19</f>
        <v>39374.32</v>
      </c>
      <c r="T73" s="125">
        <f t="shared" si="8"/>
        <v>39374.32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Valores!$C$97</f>
        <v>69533</v>
      </c>
      <c r="AA73" s="125">
        <f>Valores!$C$25</f>
        <v>1730.69</v>
      </c>
      <c r="AB73" s="214">
        <v>0</v>
      </c>
      <c r="AC73" s="125">
        <f t="shared" si="13"/>
        <v>0</v>
      </c>
      <c r="AD73" s="125">
        <f>Valores!$C$26</f>
        <v>1730.69</v>
      </c>
      <c r="AE73" s="192">
        <v>0</v>
      </c>
      <c r="AF73" s="125">
        <f>ROUND(AE73*Valores!$C$2,2)</f>
        <v>0</v>
      </c>
      <c r="AG73" s="125">
        <f>ROUND(IF($F$4="NO",Valores!$C$64,Valores!$C$64/2),2)</f>
        <v>19786.28</v>
      </c>
      <c r="AH73" s="125">
        <f>SUM(F73,H73,J73,L73,M73,N73,O73,P73,Q73,R73,T73,U73,V73,X73,Y73,Z73,AA73,AC73,AD73,AF73,AG73)*Valores!$C$104</f>
        <v>59666.630999999994</v>
      </c>
      <c r="AI73" s="125">
        <f aca="true" t="shared" si="16" ref="AI73:AI136">SUM(F73,H73,J73,L73,M73,N73,O73,P73,Q73,R73,T73,U73,V73,X73,Y73,Z73,AA73,AC73,AD73,AF73,AG73,AH73)</f>
        <v>656332.9409999999</v>
      </c>
      <c r="AJ73" s="125">
        <f>Valores!$C$31</f>
        <v>35000</v>
      </c>
      <c r="AK73" s="125">
        <v>0</v>
      </c>
      <c r="AL73" s="125">
        <f>Valores!$C$90</f>
        <v>0</v>
      </c>
      <c r="AM73" s="125">
        <f>Valores!C$39*B73</f>
        <v>0</v>
      </c>
      <c r="AN73" s="125">
        <f>IF($F$3="NO",0,Valores!$C$57)</f>
        <v>0</v>
      </c>
      <c r="AO73" s="125">
        <f t="shared" si="14"/>
        <v>35000</v>
      </c>
      <c r="AP73" s="125">
        <f>AI73*Valores!$C$72</f>
        <v>-72196.62350999999</v>
      </c>
      <c r="AQ73" s="125">
        <f>IF(AI73&lt;Valores!$E$73,-0.02,IF(AI73&lt;Valores!$F$73,-0.03,-0.04))*AI73</f>
        <v>-13126.658819999997</v>
      </c>
      <c r="AR73" s="125">
        <f>AI73*Valores!$C$75</f>
        <v>-36098.311754999995</v>
      </c>
      <c r="AS73" s="125">
        <f>Valores!$C$102</f>
        <v>-1270.16</v>
      </c>
      <c r="AT73" s="125">
        <f>IF($F$5=0,Valores!$C$103,(Valores!$C$103+$F$5*(Valores!$C$103)))</f>
        <v>-11714</v>
      </c>
      <c r="AU73" s="125">
        <f aca="true" t="shared" si="17" ref="AU73:AU136">AI73+SUM(AO73:AT73)</f>
        <v>556927.1869149999</v>
      </c>
      <c r="AV73" s="125">
        <f t="shared" si="11"/>
        <v>-72196.62350999999</v>
      </c>
      <c r="AW73" s="125">
        <f aca="true" t="shared" si="18" ref="AW73:AW136">AQ73</f>
        <v>-13126.658819999997</v>
      </c>
      <c r="AX73" s="125">
        <f>AI73*Valores!$C$76</f>
        <v>-17720.989406999997</v>
      </c>
      <c r="AY73" s="125">
        <f>AI73*Valores!$C$77</f>
        <v>-1968.9988229999997</v>
      </c>
      <c r="AZ73" s="125">
        <f t="shared" si="15"/>
        <v>586319.6704399999</v>
      </c>
      <c r="BA73" s="125">
        <f>AI73*Valores!$C$79</f>
        <v>105013.27055999998</v>
      </c>
      <c r="BB73" s="125">
        <f>AI73*Valores!$C$80</f>
        <v>45943.30587</v>
      </c>
      <c r="BC73" s="125">
        <f>AI73*Valores!$C$81</f>
        <v>6563.3294099999985</v>
      </c>
      <c r="BD73" s="125">
        <f>AI73*Valores!$C$83</f>
        <v>22971.652935</v>
      </c>
      <c r="BE73" s="125">
        <f>AI73*Valores!$C$85</f>
        <v>35441.978813999995</v>
      </c>
      <c r="BF73" s="125">
        <f>AI73*Valores!$C$84</f>
        <v>3937.9976459999993</v>
      </c>
      <c r="BG73" s="126"/>
      <c r="BH73" s="126">
        <v>30</v>
      </c>
      <c r="BI73" s="123" t="s">
        <v>4</v>
      </c>
    </row>
    <row r="74" spans="1:61" s="110" customFormat="1" ht="11.25" customHeight="1">
      <c r="A74" s="123" t="s">
        <v>236</v>
      </c>
      <c r="B74" s="123">
        <v>1</v>
      </c>
      <c r="C74" s="126">
        <v>67</v>
      </c>
      <c r="D74" s="124" t="s">
        <v>237</v>
      </c>
      <c r="E74" s="192">
        <v>90</v>
      </c>
      <c r="F74" s="125">
        <f>ROUND(E74*Valores!$C$2,2)</f>
        <v>7450.2</v>
      </c>
      <c r="G74" s="192">
        <v>2720</v>
      </c>
      <c r="H74" s="125">
        <f>ROUND(G74*Valores!$C$2,2)</f>
        <v>225161.6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77412.06</v>
      </c>
      <c r="N74" s="125">
        <f t="shared" si="12"/>
        <v>0</v>
      </c>
      <c r="O74" s="125">
        <f>Valores!$C$9</f>
        <v>104016.7</v>
      </c>
      <c r="P74" s="125">
        <f>Valores!$D$5</f>
        <v>42317.14</v>
      </c>
      <c r="Q74" s="125">
        <v>0</v>
      </c>
      <c r="R74" s="125">
        <f>IF($F$4="NO",Valores!$C$49,Valores!$C$478/2)</f>
        <v>37662.13</v>
      </c>
      <c r="S74" s="125">
        <f>Valores!$C$19</f>
        <v>39374.32</v>
      </c>
      <c r="T74" s="125">
        <f t="shared" si="8"/>
        <v>39374.32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Valores!$C$97</f>
        <v>69533</v>
      </c>
      <c r="AA74" s="125">
        <f>Valores!$C$25</f>
        <v>1730.69</v>
      </c>
      <c r="AB74" s="214">
        <v>0</v>
      </c>
      <c r="AC74" s="125">
        <f t="shared" si="13"/>
        <v>0</v>
      </c>
      <c r="AD74" s="125">
        <f>Valores!$C$26</f>
        <v>1730.69</v>
      </c>
      <c r="AE74" s="192">
        <v>0</v>
      </c>
      <c r="AF74" s="125">
        <f>ROUND(AE74*Valores!$C$2,2)</f>
        <v>0</v>
      </c>
      <c r="AG74" s="125">
        <f>ROUND(IF($F$4="NO",Valores!$C$64,Valores!$C$64/2),2)</f>
        <v>19786.28</v>
      </c>
      <c r="AH74" s="125">
        <f>SUM(F74,H74,J74,L74,M74,N74,O74,P74,Q74,R74,T74,U74,V74,X74,Y74,Z74,AA74,AC74,AD74,AF74,AG74)*Valores!$C$104</f>
        <v>62617.481</v>
      </c>
      <c r="AI74" s="125">
        <f t="shared" si="16"/>
        <v>688792.291</v>
      </c>
      <c r="AJ74" s="125">
        <f>Valores!$C$31</f>
        <v>35000</v>
      </c>
      <c r="AK74" s="125">
        <v>0</v>
      </c>
      <c r="AL74" s="125">
        <f>Valores!$C$90</f>
        <v>0</v>
      </c>
      <c r="AM74" s="125">
        <f>Valores!C$39*B74</f>
        <v>0</v>
      </c>
      <c r="AN74" s="125">
        <f>IF($F$3="NO",0,Valores!$C$57)</f>
        <v>0</v>
      </c>
      <c r="AO74" s="125">
        <f t="shared" si="14"/>
        <v>35000</v>
      </c>
      <c r="AP74" s="125">
        <f>AI74*Valores!$C$72</f>
        <v>-75767.15200999999</v>
      </c>
      <c r="AQ74" s="125">
        <f>IF(AI74&lt;Valores!$E$73,-0.02,IF(AI74&lt;Valores!$F$73,-0.03,-0.04))*AI74</f>
        <v>-13775.84582</v>
      </c>
      <c r="AR74" s="125">
        <f>AI74*Valores!$C$75</f>
        <v>-37883.576004999995</v>
      </c>
      <c r="AS74" s="125">
        <f>Valores!$C$102</f>
        <v>-1270.16</v>
      </c>
      <c r="AT74" s="125">
        <f>IF($F$5=0,Valores!$C$103,(Valores!$C$103+$F$5*(Valores!$C$103)))</f>
        <v>-11714</v>
      </c>
      <c r="AU74" s="125">
        <f t="shared" si="17"/>
        <v>583381.557165</v>
      </c>
      <c r="AV74" s="125">
        <f t="shared" si="11"/>
        <v>-75767.15200999999</v>
      </c>
      <c r="AW74" s="125">
        <f t="shared" si="18"/>
        <v>-13775.84582</v>
      </c>
      <c r="AX74" s="125">
        <f>AI74*Valores!$C$76</f>
        <v>-18597.391857</v>
      </c>
      <c r="AY74" s="125">
        <f>AI74*Valores!$C$77</f>
        <v>-2066.376873</v>
      </c>
      <c r="AZ74" s="125">
        <f t="shared" si="15"/>
        <v>613585.52444</v>
      </c>
      <c r="BA74" s="125">
        <f>AI74*Valores!$C$79</f>
        <v>110206.76656</v>
      </c>
      <c r="BB74" s="125">
        <f>AI74*Valores!$C$80</f>
        <v>48215.46037</v>
      </c>
      <c r="BC74" s="125">
        <f>AI74*Valores!$C$81</f>
        <v>6887.92291</v>
      </c>
      <c r="BD74" s="125">
        <f>AI74*Valores!$C$83</f>
        <v>24107.730185</v>
      </c>
      <c r="BE74" s="125">
        <f>AI74*Valores!$C$85</f>
        <v>37194.783714</v>
      </c>
      <c r="BF74" s="125">
        <f>AI74*Valores!$C$84</f>
        <v>4132.753746</v>
      </c>
      <c r="BG74" s="126"/>
      <c r="BH74" s="126"/>
      <c r="BI74" s="123" t="s">
        <v>8</v>
      </c>
    </row>
    <row r="75" spans="1:61" s="110" customFormat="1" ht="11.25" customHeight="1">
      <c r="A75" s="123" t="s">
        <v>238</v>
      </c>
      <c r="B75" s="123">
        <v>1</v>
      </c>
      <c r="C75" s="126">
        <v>68</v>
      </c>
      <c r="D75" s="124" t="s">
        <v>239</v>
      </c>
      <c r="E75" s="192">
        <v>78</v>
      </c>
      <c r="F75" s="125">
        <f>ROUND(E75*Valores!$C$2,2)</f>
        <v>6456.84</v>
      </c>
      <c r="G75" s="192">
        <v>1284</v>
      </c>
      <c r="H75" s="125">
        <f>ROUND(G75*Valores!$C$2,2)</f>
        <v>106289.52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45278.4</v>
      </c>
      <c r="N75" s="125">
        <f t="shared" si="12"/>
        <v>0</v>
      </c>
      <c r="O75" s="125">
        <f>Valores!$C$8</f>
        <v>103748.61</v>
      </c>
      <c r="P75" s="125">
        <f>Valores!$D$5</f>
        <v>42317.14</v>
      </c>
      <c r="Q75" s="125">
        <f>Valores!$C$22</f>
        <v>37751.3</v>
      </c>
      <c r="R75" s="125">
        <f>IF($F$4="NO",Valores!$C$45,Valores!$C$45/2)</f>
        <v>29395.49</v>
      </c>
      <c r="S75" s="125">
        <f>Valores!$C$20</f>
        <v>38971.76</v>
      </c>
      <c r="T75" s="125">
        <f aca="true" t="shared" si="19" ref="T75:T138">ROUND(S75*(1+$H$2),2)</f>
        <v>38971.76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Valores!$C$96</f>
        <v>57944.18</v>
      </c>
      <c r="AA75" s="125">
        <f>Valores!$C$25</f>
        <v>1730.69</v>
      </c>
      <c r="AB75" s="214">
        <v>0</v>
      </c>
      <c r="AC75" s="125">
        <f t="shared" si="13"/>
        <v>0</v>
      </c>
      <c r="AD75" s="125">
        <f>Valores!$C$26</f>
        <v>1730.69</v>
      </c>
      <c r="AE75" s="192">
        <v>0</v>
      </c>
      <c r="AF75" s="125">
        <f>ROUND(AE75*Valores!$C$2,2)</f>
        <v>0</v>
      </c>
      <c r="AG75" s="125">
        <f>ROUND(IF($F$4="NO",Valores!$C$64,Valores!$C$64/2),2)</f>
        <v>19786.28</v>
      </c>
      <c r="AH75" s="125">
        <f>SUM(F75,H75,J75,L75,M75,N75,O75,P75,Q75,R75,T75,U75,V75,X75,Y75,Z75,AA75,AC75,AD75,AF75,AG75)*Valores!$C$104</f>
        <v>49140.090000000004</v>
      </c>
      <c r="AI75" s="125">
        <f t="shared" si="16"/>
        <v>540540.99</v>
      </c>
      <c r="AJ75" s="125">
        <f>Valores!$C$31</f>
        <v>35000</v>
      </c>
      <c r="AK75" s="125">
        <v>0</v>
      </c>
      <c r="AL75" s="125">
        <f>Valores!$C$89</f>
        <v>0</v>
      </c>
      <c r="AM75" s="125">
        <f>Valores!C$39*B75</f>
        <v>0</v>
      </c>
      <c r="AN75" s="125">
        <f>IF($F$3="NO",0,Valores!$C$57)</f>
        <v>0</v>
      </c>
      <c r="AO75" s="125">
        <f t="shared" si="14"/>
        <v>35000</v>
      </c>
      <c r="AP75" s="125">
        <f>AI75*Valores!$C$72</f>
        <v>-59459.5089</v>
      </c>
      <c r="AQ75" s="125">
        <f>IF(AI75&lt;Valores!$E$73,-0.02,IF(AI75&lt;Valores!$F$73,-0.03,-0.04))*AI75</f>
        <v>-10810.8198</v>
      </c>
      <c r="AR75" s="125">
        <f>AI75*Valores!$C$75</f>
        <v>-29729.75445</v>
      </c>
      <c r="AS75" s="125">
        <f>Valores!$C$102</f>
        <v>-1270.16</v>
      </c>
      <c r="AT75" s="125">
        <f>IF($F$5=0,Valores!$C$103,(Valores!$C$103+$F$5*(Valores!$C$103)))</f>
        <v>-11714</v>
      </c>
      <c r="AU75" s="125">
        <f t="shared" si="17"/>
        <v>462556.74685</v>
      </c>
      <c r="AV75" s="125">
        <f t="shared" si="11"/>
        <v>-59459.5089</v>
      </c>
      <c r="AW75" s="125">
        <f t="shared" si="18"/>
        <v>-10810.8198</v>
      </c>
      <c r="AX75" s="125">
        <f>AI75*Valores!$C$76</f>
        <v>-14594.60673</v>
      </c>
      <c r="AY75" s="125">
        <f>AI75*Valores!$C$77</f>
        <v>-1621.62297</v>
      </c>
      <c r="AZ75" s="125">
        <f t="shared" si="15"/>
        <v>489054.4316</v>
      </c>
      <c r="BA75" s="125">
        <f>AI75*Valores!$C$79</f>
        <v>86486.5584</v>
      </c>
      <c r="BB75" s="125">
        <f>AI75*Valores!$C$80</f>
        <v>37837.869300000006</v>
      </c>
      <c r="BC75" s="125">
        <f>AI75*Valores!$C$81</f>
        <v>5405.4099</v>
      </c>
      <c r="BD75" s="125">
        <f>AI75*Valores!$C$83</f>
        <v>18918.934650000003</v>
      </c>
      <c r="BE75" s="125">
        <f>AI75*Valores!$C$85</f>
        <v>29189.21346</v>
      </c>
      <c r="BF75" s="125">
        <f>AI75*Valores!$C$84</f>
        <v>3243.24594</v>
      </c>
      <c r="BG75" s="126"/>
      <c r="BH75" s="126">
        <v>30</v>
      </c>
      <c r="BI75" s="123" t="s">
        <v>4</v>
      </c>
    </row>
    <row r="76" spans="1:61" s="110" customFormat="1" ht="11.25" customHeight="1">
      <c r="A76" s="123" t="s">
        <v>240</v>
      </c>
      <c r="B76" s="123">
        <v>1</v>
      </c>
      <c r="C76" s="126">
        <v>69</v>
      </c>
      <c r="D76" s="124" t="s">
        <v>241</v>
      </c>
      <c r="E76" s="192">
        <v>78</v>
      </c>
      <c r="F76" s="125">
        <f>ROUND(E76*Valores!$C$2,2)</f>
        <v>6456.84</v>
      </c>
      <c r="G76" s="192">
        <v>1284</v>
      </c>
      <c r="H76" s="125">
        <f>ROUND(G76*Valores!$C$2,2)</f>
        <v>106289.52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45278.4</v>
      </c>
      <c r="N76" s="125">
        <f t="shared" si="12"/>
        <v>0</v>
      </c>
      <c r="O76" s="125">
        <f>Valores!$C$8</f>
        <v>103748.61</v>
      </c>
      <c r="P76" s="125">
        <f>Valores!$D$5</f>
        <v>42317.14</v>
      </c>
      <c r="Q76" s="125">
        <f>Valores!$C$22</f>
        <v>37751.3</v>
      </c>
      <c r="R76" s="125">
        <f>IF($F$4="NO",Valores!$C$45,Valores!$C$45/2)</f>
        <v>29395.49</v>
      </c>
      <c r="S76" s="125">
        <f>Valores!$C$20</f>
        <v>38971.76</v>
      </c>
      <c r="T76" s="125">
        <f t="shared" si="19"/>
        <v>38971.76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Valores!$C$96</f>
        <v>57944.18</v>
      </c>
      <c r="AA76" s="125">
        <f>Valores!$C$25</f>
        <v>1730.69</v>
      </c>
      <c r="AB76" s="214">
        <v>0</v>
      </c>
      <c r="AC76" s="125">
        <f t="shared" si="13"/>
        <v>0</v>
      </c>
      <c r="AD76" s="125">
        <f>Valores!$C$26</f>
        <v>1730.69</v>
      </c>
      <c r="AE76" s="192">
        <v>0</v>
      </c>
      <c r="AF76" s="125">
        <f>ROUND(AE76*Valores!$C$2,2)</f>
        <v>0</v>
      </c>
      <c r="AG76" s="125">
        <f>ROUND(IF($F$4="NO",Valores!$C$64,Valores!$C$64/2),2)</f>
        <v>19786.28</v>
      </c>
      <c r="AH76" s="125">
        <f>SUM(F76,H76,J76,L76,M76,N76,O76,P76,Q76,R76,T76,U76,V76,X76,Y76,Z76,AA76,AC76,AD76,AF76,AG76)*Valores!$C$104</f>
        <v>49140.090000000004</v>
      </c>
      <c r="AI76" s="125">
        <f t="shared" si="16"/>
        <v>540540.99</v>
      </c>
      <c r="AJ76" s="125">
        <f>Valores!$C$31</f>
        <v>35000</v>
      </c>
      <c r="AK76" s="125">
        <v>0</v>
      </c>
      <c r="AL76" s="125">
        <f>Valores!$C$89</f>
        <v>0</v>
      </c>
      <c r="AM76" s="125">
        <f>Valores!C$39*B76</f>
        <v>0</v>
      </c>
      <c r="AN76" s="125">
        <v>0</v>
      </c>
      <c r="AO76" s="125">
        <f t="shared" si="14"/>
        <v>35000</v>
      </c>
      <c r="AP76" s="125">
        <f>AI76*Valores!$C$72</f>
        <v>-59459.5089</v>
      </c>
      <c r="AQ76" s="125">
        <f>IF(AI76&lt;Valores!$E$73,-0.02,IF(AI76&lt;Valores!$F$73,-0.03,-0.04))*AI76</f>
        <v>-10810.8198</v>
      </c>
      <c r="AR76" s="125">
        <f>AI76*Valores!$C$75</f>
        <v>-29729.75445</v>
      </c>
      <c r="AS76" s="125">
        <f>Valores!$C$102</f>
        <v>-1270.16</v>
      </c>
      <c r="AT76" s="125">
        <f>IF($F$5=0,Valores!$C$103,(Valores!$C$103+$F$5*(Valores!$C$103)))</f>
        <v>-11714</v>
      </c>
      <c r="AU76" s="125">
        <f t="shared" si="17"/>
        <v>462556.74685</v>
      </c>
      <c r="AV76" s="125">
        <f t="shared" si="11"/>
        <v>-59459.5089</v>
      </c>
      <c r="AW76" s="125">
        <f t="shared" si="18"/>
        <v>-10810.8198</v>
      </c>
      <c r="AX76" s="125">
        <f>AI76*Valores!$C$76</f>
        <v>-14594.60673</v>
      </c>
      <c r="AY76" s="125">
        <f>AI76*Valores!$C$77</f>
        <v>-1621.62297</v>
      </c>
      <c r="AZ76" s="125">
        <f t="shared" si="15"/>
        <v>489054.4316</v>
      </c>
      <c r="BA76" s="125">
        <f>AI76*Valores!$C$79</f>
        <v>86486.5584</v>
      </c>
      <c r="BB76" s="125">
        <f>AI76*Valores!$C$80</f>
        <v>37837.869300000006</v>
      </c>
      <c r="BC76" s="125">
        <f>AI76*Valores!$C$81</f>
        <v>5405.4099</v>
      </c>
      <c r="BD76" s="125">
        <f>AI76*Valores!$C$83</f>
        <v>18918.934650000003</v>
      </c>
      <c r="BE76" s="125">
        <f>AI76*Valores!$C$85</f>
        <v>29189.21346</v>
      </c>
      <c r="BF76" s="125">
        <f>AI76*Valores!$C$84</f>
        <v>3243.24594</v>
      </c>
      <c r="BG76" s="126"/>
      <c r="BH76" s="126"/>
      <c r="BI76" s="123" t="s">
        <v>8</v>
      </c>
    </row>
    <row r="77" spans="1:61" s="110" customFormat="1" ht="11.25" customHeight="1">
      <c r="A77" s="123" t="s">
        <v>242</v>
      </c>
      <c r="B77" s="123">
        <v>1</v>
      </c>
      <c r="C77" s="126">
        <v>70</v>
      </c>
      <c r="D77" s="124" t="s">
        <v>243</v>
      </c>
      <c r="E77" s="192">
        <v>78</v>
      </c>
      <c r="F77" s="125">
        <f>ROUND(E77*Valores!$C$2,2)</f>
        <v>6456.84</v>
      </c>
      <c r="G77" s="192">
        <v>1284</v>
      </c>
      <c r="H77" s="125">
        <f>ROUND(G77*Valores!$C$2,2)</f>
        <v>106289.52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35535.46</v>
      </c>
      <c r="N77" s="125">
        <f t="shared" si="12"/>
        <v>0</v>
      </c>
      <c r="O77" s="125">
        <f>Valores!$C$14</f>
        <v>82427.08</v>
      </c>
      <c r="P77" s="125">
        <f>Valores!$D$5</f>
        <v>42317.14</v>
      </c>
      <c r="Q77" s="125">
        <f>Valores!$C$22</f>
        <v>37751.3</v>
      </c>
      <c r="R77" s="125">
        <f>IF($F$4="NO",Valores!$C$45,Valores!$C$45/2)</f>
        <v>29395.49</v>
      </c>
      <c r="S77" s="125">
        <v>0</v>
      </c>
      <c r="T77" s="125">
        <f t="shared" si="19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Valores!$C$96</f>
        <v>57944.18</v>
      </c>
      <c r="AA77" s="125">
        <f>Valores!$C$25</f>
        <v>1730.69</v>
      </c>
      <c r="AB77" s="214">
        <v>0</v>
      </c>
      <c r="AC77" s="125">
        <f t="shared" si="13"/>
        <v>0</v>
      </c>
      <c r="AD77" s="125">
        <f>Valores!$C$26</f>
        <v>1730.69</v>
      </c>
      <c r="AE77" s="192">
        <v>0</v>
      </c>
      <c r="AF77" s="125">
        <f>ROUND(AE77*Valores!$C$2,2)</f>
        <v>0</v>
      </c>
      <c r="AG77" s="125">
        <f>ROUND(IF($F$4="NO",Valores!$C$64,Valores!$C$64/2),2)</f>
        <v>19786.28</v>
      </c>
      <c r="AH77" s="125">
        <f>SUM(F77,H77,J77,L77,M77,N77,O77,P77,Q77,R77,T77,U77,V77,X77,Y77,Z77,AA77,AC77,AD77,AF77,AG77)*Valores!$C$104</f>
        <v>42136.467000000004</v>
      </c>
      <c r="AI77" s="125">
        <f t="shared" si="16"/>
        <v>463501.13700000005</v>
      </c>
      <c r="AJ77" s="125">
        <f>Valores!$C$31</f>
        <v>35000</v>
      </c>
      <c r="AK77" s="125">
        <v>0</v>
      </c>
      <c r="AL77" s="125">
        <f>Valores!$C$89</f>
        <v>0</v>
      </c>
      <c r="AM77" s="125">
        <f>Valores!C$39*B77</f>
        <v>0</v>
      </c>
      <c r="AN77" s="125">
        <v>0</v>
      </c>
      <c r="AO77" s="125">
        <f t="shared" si="14"/>
        <v>35000</v>
      </c>
      <c r="AP77" s="125">
        <f>AI77*Valores!$C$72</f>
        <v>-50985.12507</v>
      </c>
      <c r="AQ77" s="125">
        <f>IF(AI77&lt;Valores!$E$73,-0.02,IF(AI77&lt;Valores!$F$73,-0.03,-0.04))*AI77</f>
        <v>-9270.02274</v>
      </c>
      <c r="AR77" s="125">
        <f>AI77*Valores!$C$75</f>
        <v>-25492.562535</v>
      </c>
      <c r="AS77" s="125">
        <f>Valores!$C$102</f>
        <v>-1270.16</v>
      </c>
      <c r="AT77" s="125">
        <f>IF($F$5=0,Valores!$C$103,(Valores!$C$103+$F$5*(Valores!$C$103)))</f>
        <v>-11714</v>
      </c>
      <c r="AU77" s="125">
        <f t="shared" si="17"/>
        <v>399769.26665500004</v>
      </c>
      <c r="AV77" s="125">
        <f t="shared" si="11"/>
        <v>-50985.12507</v>
      </c>
      <c r="AW77" s="125">
        <f t="shared" si="18"/>
        <v>-9270.02274</v>
      </c>
      <c r="AX77" s="125">
        <f>AI77*Valores!$C$76</f>
        <v>-12514.530699</v>
      </c>
      <c r="AY77" s="125">
        <f>AI77*Valores!$C$77</f>
        <v>-1390.5034110000001</v>
      </c>
      <c r="AZ77" s="125">
        <f t="shared" si="15"/>
        <v>424340.95508000004</v>
      </c>
      <c r="BA77" s="125">
        <f>AI77*Valores!$C$79</f>
        <v>74160.18192</v>
      </c>
      <c r="BB77" s="125">
        <f>AI77*Valores!$C$80</f>
        <v>32445.079590000005</v>
      </c>
      <c r="BC77" s="125">
        <f>AI77*Valores!$C$81</f>
        <v>4635.01137</v>
      </c>
      <c r="BD77" s="125">
        <f>AI77*Valores!$C$83</f>
        <v>16222.539795000002</v>
      </c>
      <c r="BE77" s="125">
        <f>AI77*Valores!$C$85</f>
        <v>25029.061398</v>
      </c>
      <c r="BF77" s="125">
        <f>AI77*Valores!$C$84</f>
        <v>2781.0068220000003</v>
      </c>
      <c r="BG77" s="126"/>
      <c r="BH77" s="126"/>
      <c r="BI77" s="123" t="s">
        <v>8</v>
      </c>
    </row>
    <row r="78" spans="1:61" s="110" customFormat="1" ht="11.25" customHeight="1">
      <c r="A78" s="123" t="s">
        <v>244</v>
      </c>
      <c r="B78" s="123">
        <v>1</v>
      </c>
      <c r="C78" s="126">
        <v>71</v>
      </c>
      <c r="D78" s="124" t="s">
        <v>245</v>
      </c>
      <c r="E78" s="192">
        <v>82</v>
      </c>
      <c r="F78" s="125">
        <f>ROUND(E78*Valores!$C$2,2)</f>
        <v>6787.96</v>
      </c>
      <c r="G78" s="192">
        <v>2038</v>
      </c>
      <c r="H78" s="125">
        <f>ROUND(G78*Valores!$C$2,2)</f>
        <v>168705.64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61065.85</v>
      </c>
      <c r="N78" s="125">
        <f t="shared" si="12"/>
        <v>0</v>
      </c>
      <c r="O78" s="125">
        <f>Valores!$C$9</f>
        <v>104016.7</v>
      </c>
      <c r="P78" s="125">
        <f>Valores!$D$5</f>
        <v>42317.14</v>
      </c>
      <c r="Q78" s="125">
        <f>Valores!$C$22</f>
        <v>37751.3</v>
      </c>
      <c r="R78" s="125">
        <f>IF($F$4="NO",Valores!$C$45,Valores!$C$45/2)</f>
        <v>29395.49</v>
      </c>
      <c r="S78" s="125">
        <f>Valores!$C$19</f>
        <v>39374.32</v>
      </c>
      <c r="T78" s="125">
        <f t="shared" si="19"/>
        <v>39374.32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Valores!$C$96</f>
        <v>57944.18</v>
      </c>
      <c r="AA78" s="125">
        <f>Valores!$C$25</f>
        <v>1730.69</v>
      </c>
      <c r="AB78" s="214">
        <v>0</v>
      </c>
      <c r="AC78" s="125">
        <f t="shared" si="13"/>
        <v>0</v>
      </c>
      <c r="AD78" s="125">
        <f>Valores!$C$26</f>
        <v>1730.69</v>
      </c>
      <c r="AE78" s="192">
        <v>0</v>
      </c>
      <c r="AF78" s="125">
        <f>ROUND(AE78*Valores!$C$2,2)</f>
        <v>0</v>
      </c>
      <c r="AG78" s="125">
        <f>ROUND(IF($F$4="NO",Valores!$C$64,Valores!$C$64/2),2)</f>
        <v>19786.28</v>
      </c>
      <c r="AH78" s="125">
        <f>SUM(F78,H78,J78,L78,M78,N78,O78,P78,Q78,R78,T78,U78,V78,X78,Y78,Z78,AA78,AC78,AD78,AF78,AG78)*Valores!$C$104</f>
        <v>57060.624</v>
      </c>
      <c r="AI78" s="125">
        <f t="shared" si="16"/>
        <v>627666.864</v>
      </c>
      <c r="AJ78" s="125">
        <f>Valores!$C$31</f>
        <v>35000</v>
      </c>
      <c r="AK78" s="125">
        <v>0</v>
      </c>
      <c r="AL78" s="125">
        <f>Valores!$C$89</f>
        <v>0</v>
      </c>
      <c r="AM78" s="125">
        <f>Valores!C$39*B78</f>
        <v>0</v>
      </c>
      <c r="AN78" s="125">
        <f>IF($F$3="NO",0,Valores!$C$57)</f>
        <v>0</v>
      </c>
      <c r="AO78" s="125">
        <f t="shared" si="14"/>
        <v>35000</v>
      </c>
      <c r="AP78" s="125">
        <f>AI78*Valores!$C$72</f>
        <v>-69043.35504</v>
      </c>
      <c r="AQ78" s="125">
        <f>IF(AI78&lt;Valores!$E$73,-0.02,IF(AI78&lt;Valores!$F$73,-0.03,-0.04))*AI78</f>
        <v>-12553.33728</v>
      </c>
      <c r="AR78" s="125">
        <f>AI78*Valores!$C$75</f>
        <v>-34521.67752</v>
      </c>
      <c r="AS78" s="125">
        <f>Valores!$C$102</f>
        <v>-1270.16</v>
      </c>
      <c r="AT78" s="125">
        <f>IF($F$5=0,Valores!$C$103,(Valores!$C$103+$F$5*(Valores!$C$103)))</f>
        <v>-11714</v>
      </c>
      <c r="AU78" s="125">
        <f t="shared" si="17"/>
        <v>533564.33416</v>
      </c>
      <c r="AV78" s="125">
        <f t="shared" si="11"/>
        <v>-69043.35504</v>
      </c>
      <c r="AW78" s="125">
        <f t="shared" si="18"/>
        <v>-12553.33728</v>
      </c>
      <c r="AX78" s="125">
        <f>AI78*Valores!$C$76</f>
        <v>-16947.005328</v>
      </c>
      <c r="AY78" s="125">
        <f>AI78*Valores!$C$77</f>
        <v>-1883.0005919999999</v>
      </c>
      <c r="AZ78" s="125">
        <f t="shared" si="15"/>
        <v>562240.16576</v>
      </c>
      <c r="BA78" s="125">
        <f>AI78*Valores!$C$79</f>
        <v>100426.69824</v>
      </c>
      <c r="BB78" s="125">
        <f>AI78*Valores!$C$80</f>
        <v>43936.68048</v>
      </c>
      <c r="BC78" s="125">
        <f>AI78*Valores!$C$81</f>
        <v>6276.66864</v>
      </c>
      <c r="BD78" s="125">
        <f>AI78*Valores!$C$83</f>
        <v>21968.34024</v>
      </c>
      <c r="BE78" s="125">
        <f>AI78*Valores!$C$85</f>
        <v>33894.010656</v>
      </c>
      <c r="BF78" s="125">
        <f>AI78*Valores!$C$84</f>
        <v>3766.0011839999997</v>
      </c>
      <c r="BG78" s="126"/>
      <c r="BH78" s="126">
        <v>25</v>
      </c>
      <c r="BI78" s="123" t="s">
        <v>4</v>
      </c>
    </row>
    <row r="79" spans="1:61" s="110" customFormat="1" ht="11.25" customHeight="1">
      <c r="A79" s="123" t="s">
        <v>246</v>
      </c>
      <c r="B79" s="123">
        <v>1</v>
      </c>
      <c r="C79" s="126">
        <v>72</v>
      </c>
      <c r="D79" s="124" t="s">
        <v>247</v>
      </c>
      <c r="E79" s="192">
        <v>78</v>
      </c>
      <c r="F79" s="125">
        <f>ROUND(E79*Valores!$C$2,2)</f>
        <v>6456.84</v>
      </c>
      <c r="G79" s="192">
        <v>2072</v>
      </c>
      <c r="H79" s="125">
        <f>ROUND(G79*Valores!$C$2,2)</f>
        <v>171520.16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62097.55</v>
      </c>
      <c r="N79" s="125">
        <f t="shared" si="12"/>
        <v>0</v>
      </c>
      <c r="O79" s="125">
        <f>Valores!$C$9</f>
        <v>104016.7</v>
      </c>
      <c r="P79" s="125">
        <f>Valores!$D$5</f>
        <v>42317.14</v>
      </c>
      <c r="Q79" s="125">
        <f>Valores!$C$22</f>
        <v>37751.3</v>
      </c>
      <c r="R79" s="125">
        <f>IF($F$4="NO",Valores!$C$46,Valores!$C$46/2)</f>
        <v>31038.89</v>
      </c>
      <c r="S79" s="125">
        <f>Valores!$C$19</f>
        <v>39374.32</v>
      </c>
      <c r="T79" s="125">
        <f t="shared" si="19"/>
        <v>39374.32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Valores!$C$97</f>
        <v>69533</v>
      </c>
      <c r="AA79" s="125">
        <f>Valores!$C$25</f>
        <v>1730.69</v>
      </c>
      <c r="AB79" s="214">
        <v>0</v>
      </c>
      <c r="AC79" s="125">
        <f t="shared" si="13"/>
        <v>0</v>
      </c>
      <c r="AD79" s="125">
        <f>Valores!$C$26</f>
        <v>1730.69</v>
      </c>
      <c r="AE79" s="192">
        <v>0</v>
      </c>
      <c r="AF79" s="125">
        <f>ROUND(AE79*Valores!$C$2,2)</f>
        <v>0</v>
      </c>
      <c r="AG79" s="125">
        <f>ROUND(IF($F$4="NO",Valores!$C$64,Valores!$C$64/2),2)</f>
        <v>19786.28</v>
      </c>
      <c r="AH79" s="125">
        <f>SUM(F79,H79,J79,L79,M79,N79,O79,P79,Q79,R79,T79,U79,V79,X79,Y79,Z79,AA79,AC79,AD79,AF79,AG79)*Valores!$C$104</f>
        <v>58735.356</v>
      </c>
      <c r="AI79" s="125">
        <f t="shared" si="16"/>
        <v>646088.916</v>
      </c>
      <c r="AJ79" s="125">
        <f>Valores!$C$31</f>
        <v>35000</v>
      </c>
      <c r="AK79" s="125">
        <v>0</v>
      </c>
      <c r="AL79" s="125">
        <f>Valores!$C$90</f>
        <v>0</v>
      </c>
      <c r="AM79" s="125">
        <f>Valores!C$39*B79</f>
        <v>0</v>
      </c>
      <c r="AN79" s="125">
        <f>IF($F$3="NO",0,Valores!$C$57)</f>
        <v>0</v>
      </c>
      <c r="AO79" s="125">
        <f t="shared" si="14"/>
        <v>35000</v>
      </c>
      <c r="AP79" s="125">
        <f>AI79*Valores!$C$72</f>
        <v>-71069.78076</v>
      </c>
      <c r="AQ79" s="125">
        <f>IF(AI79&lt;Valores!$E$73,-0.02,IF(AI79&lt;Valores!$F$73,-0.03,-0.04))*AI79</f>
        <v>-12921.77832</v>
      </c>
      <c r="AR79" s="125">
        <f>AI79*Valores!$C$75</f>
        <v>-35534.89038</v>
      </c>
      <c r="AS79" s="125">
        <f>Valores!$C$102</f>
        <v>-1270.16</v>
      </c>
      <c r="AT79" s="125">
        <f>IF($F$5=0,Valores!$C$103,(Valores!$C$103+$F$5*(Valores!$C$103)))</f>
        <v>-11714</v>
      </c>
      <c r="AU79" s="125">
        <f t="shared" si="17"/>
        <v>548578.30654</v>
      </c>
      <c r="AV79" s="125">
        <f t="shared" si="11"/>
        <v>-71069.78076</v>
      </c>
      <c r="AW79" s="125">
        <f t="shared" si="18"/>
        <v>-12921.77832</v>
      </c>
      <c r="AX79" s="125">
        <f>AI79*Valores!$C$76</f>
        <v>-17444.400732</v>
      </c>
      <c r="AY79" s="125">
        <f>AI79*Valores!$C$77</f>
        <v>-1938.266748</v>
      </c>
      <c r="AZ79" s="125">
        <f t="shared" si="15"/>
        <v>577714.68944</v>
      </c>
      <c r="BA79" s="125">
        <f>AI79*Valores!$C$79</f>
        <v>103374.22656</v>
      </c>
      <c r="BB79" s="125">
        <f>AI79*Valores!$C$80</f>
        <v>45226.22412</v>
      </c>
      <c r="BC79" s="125">
        <f>AI79*Valores!$C$81</f>
        <v>6460.88916</v>
      </c>
      <c r="BD79" s="125">
        <f>AI79*Valores!$C$83</f>
        <v>22613.11206</v>
      </c>
      <c r="BE79" s="125">
        <f>AI79*Valores!$C$85</f>
        <v>34888.801464</v>
      </c>
      <c r="BF79" s="125">
        <f>AI79*Valores!$C$84</f>
        <v>3876.533496</v>
      </c>
      <c r="BG79" s="126"/>
      <c r="BH79" s="126">
        <v>30</v>
      </c>
      <c r="BI79" s="123" t="s">
        <v>4</v>
      </c>
    </row>
    <row r="80" spans="1:61" s="110" customFormat="1" ht="11.25" customHeight="1">
      <c r="A80" s="123" t="s">
        <v>248</v>
      </c>
      <c r="B80" s="123">
        <v>1</v>
      </c>
      <c r="C80" s="126">
        <v>73</v>
      </c>
      <c r="D80" s="124" t="s">
        <v>249</v>
      </c>
      <c r="E80" s="192">
        <v>78</v>
      </c>
      <c r="F80" s="125">
        <f>ROUND(E80*Valores!$C$2,2)</f>
        <v>6456.84</v>
      </c>
      <c r="G80" s="192">
        <v>1770</v>
      </c>
      <c r="H80" s="125">
        <f>ROUND(G80*Valores!$C$2,2)</f>
        <v>146520.6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55847.66</v>
      </c>
      <c r="N80" s="125">
        <f t="shared" si="12"/>
        <v>0</v>
      </c>
      <c r="O80" s="125">
        <f>Valores!$C$9</f>
        <v>104016.7</v>
      </c>
      <c r="P80" s="125">
        <f>Valores!$D$5</f>
        <v>42317.14</v>
      </c>
      <c r="Q80" s="125">
        <f>Valores!$C$22</f>
        <v>37751.3</v>
      </c>
      <c r="R80" s="125">
        <f>IF($F$4="NO",Valores!$C$46,Valores!$C$46/2)</f>
        <v>31038.89</v>
      </c>
      <c r="S80" s="125">
        <f>Valores!$C$19</f>
        <v>39374.32</v>
      </c>
      <c r="T80" s="125">
        <f t="shared" si="19"/>
        <v>39374.32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Valores!$C$97</f>
        <v>69533</v>
      </c>
      <c r="AA80" s="125">
        <f>Valores!$C$25</f>
        <v>1730.69</v>
      </c>
      <c r="AB80" s="214">
        <v>0</v>
      </c>
      <c r="AC80" s="125">
        <f t="shared" si="13"/>
        <v>0</v>
      </c>
      <c r="AD80" s="125">
        <f>Valores!$C$26</f>
        <v>1730.69</v>
      </c>
      <c r="AE80" s="192">
        <v>0</v>
      </c>
      <c r="AF80" s="125">
        <f>ROUND(AE80*Valores!$C$2,2)</f>
        <v>0</v>
      </c>
      <c r="AG80" s="125">
        <f>ROUND(IF($F$4="NO",Valores!$C$64,Valores!$C$64/2),2)</f>
        <v>19786.28</v>
      </c>
      <c r="AH80" s="125">
        <f>SUM(F80,H80,J80,L80,M80,N80,O80,P80,Q80,R80,T80,U80,V80,X80,Y80,Z80,AA80,AC80,AD80,AF80,AG80)*Valores!$C$104</f>
        <v>55610.41099999999</v>
      </c>
      <c r="AI80" s="125">
        <f t="shared" si="16"/>
        <v>611714.5209999998</v>
      </c>
      <c r="AJ80" s="125">
        <f>Valores!$C$31</f>
        <v>35000</v>
      </c>
      <c r="AK80" s="125">
        <v>0</v>
      </c>
      <c r="AL80" s="125">
        <f>Valores!$C$90</f>
        <v>0</v>
      </c>
      <c r="AM80" s="125">
        <f>Valores!C$39*B80</f>
        <v>0</v>
      </c>
      <c r="AN80" s="125">
        <f>IF($F$3="NO",0,Valores!$C$57)</f>
        <v>0</v>
      </c>
      <c r="AO80" s="125">
        <f t="shared" si="14"/>
        <v>35000</v>
      </c>
      <c r="AP80" s="125">
        <f>AI80*Valores!$C$72</f>
        <v>-67288.59730999998</v>
      </c>
      <c r="AQ80" s="125">
        <f>IF(AI80&lt;Valores!$E$73,-0.02,IF(AI80&lt;Valores!$F$73,-0.03,-0.04))*AI80</f>
        <v>-12234.290419999998</v>
      </c>
      <c r="AR80" s="125">
        <f>AI80*Valores!$C$75</f>
        <v>-33644.29865499999</v>
      </c>
      <c r="AS80" s="125">
        <f>Valores!$C$102</f>
        <v>-1270.16</v>
      </c>
      <c r="AT80" s="125">
        <f>IF($F$5=0,Valores!$C$103,(Valores!$C$103+$F$5*(Valores!$C$103)))</f>
        <v>-11714</v>
      </c>
      <c r="AU80" s="125">
        <f t="shared" si="17"/>
        <v>520563.17461499985</v>
      </c>
      <c r="AV80" s="125">
        <f t="shared" si="11"/>
        <v>-67288.59730999998</v>
      </c>
      <c r="AW80" s="125">
        <f t="shared" si="18"/>
        <v>-12234.290419999998</v>
      </c>
      <c r="AX80" s="125">
        <f>AI80*Valores!$C$76</f>
        <v>-16516.292066999995</v>
      </c>
      <c r="AY80" s="125">
        <f>AI80*Valores!$C$77</f>
        <v>-1835.1435629999996</v>
      </c>
      <c r="AZ80" s="125">
        <f t="shared" si="15"/>
        <v>548840.1976399998</v>
      </c>
      <c r="BA80" s="125">
        <f>AI80*Valores!$C$79</f>
        <v>97874.32335999998</v>
      </c>
      <c r="BB80" s="125">
        <f>AI80*Valores!$C$80</f>
        <v>42820.016469999995</v>
      </c>
      <c r="BC80" s="125">
        <f>AI80*Valores!$C$81</f>
        <v>6117.145209999999</v>
      </c>
      <c r="BD80" s="125">
        <f>AI80*Valores!$C$83</f>
        <v>21410.008234999998</v>
      </c>
      <c r="BE80" s="125">
        <f>AI80*Valores!$C$85</f>
        <v>33032.58413399999</v>
      </c>
      <c r="BF80" s="125">
        <f>AI80*Valores!$C$84</f>
        <v>3670.2871259999993</v>
      </c>
      <c r="BG80" s="126"/>
      <c r="BH80" s="126"/>
      <c r="BI80" s="123" t="s">
        <v>4</v>
      </c>
    </row>
    <row r="81" spans="1:61" s="110" customFormat="1" ht="11.25" customHeight="1">
      <c r="A81" s="123" t="s">
        <v>250</v>
      </c>
      <c r="B81" s="123">
        <v>1</v>
      </c>
      <c r="C81" s="126">
        <v>74</v>
      </c>
      <c r="D81" s="124" t="s">
        <v>251</v>
      </c>
      <c r="E81" s="192">
        <v>77</v>
      </c>
      <c r="F81" s="125">
        <f>ROUND(E81*Valores!$C$2,2)</f>
        <v>6374.06</v>
      </c>
      <c r="G81" s="192">
        <v>2073</v>
      </c>
      <c r="H81" s="125">
        <f>ROUND(G81*Valores!$C$2,2)</f>
        <v>171602.94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62097.55</v>
      </c>
      <c r="N81" s="125">
        <f t="shared" si="12"/>
        <v>0</v>
      </c>
      <c r="O81" s="125">
        <f>Valores!$C$9</f>
        <v>104016.7</v>
      </c>
      <c r="P81" s="125">
        <f>Valores!$D$5</f>
        <v>42317.14</v>
      </c>
      <c r="Q81" s="125">
        <f>Valores!$C$22</f>
        <v>37751.3</v>
      </c>
      <c r="R81" s="125">
        <f>IF($F$4="NO",Valores!$C$46,Valores!$C$46/2)</f>
        <v>31038.89</v>
      </c>
      <c r="S81" s="125">
        <f>Valores!$C$19</f>
        <v>39374.32</v>
      </c>
      <c r="T81" s="125">
        <f t="shared" si="19"/>
        <v>39374.32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Valores!$C$97</f>
        <v>69533</v>
      </c>
      <c r="AA81" s="125">
        <f>Valores!$C$25</f>
        <v>1730.69</v>
      </c>
      <c r="AB81" s="214">
        <v>0</v>
      </c>
      <c r="AC81" s="125">
        <f t="shared" si="13"/>
        <v>0</v>
      </c>
      <c r="AD81" s="125">
        <f>Valores!$C$26</f>
        <v>1730.69</v>
      </c>
      <c r="AE81" s="192">
        <v>0</v>
      </c>
      <c r="AF81" s="125">
        <f>ROUND(AE81*Valores!$C$2,2)</f>
        <v>0</v>
      </c>
      <c r="AG81" s="125">
        <f>ROUND(IF($F$4="NO",Valores!$C$64,Valores!$C$64/2),2)</f>
        <v>19786.28</v>
      </c>
      <c r="AH81" s="125">
        <f>SUM(F81,H81,J81,L81,M81,N81,O81,P81,Q81,R81,T81,U81,V81,X81,Y81,Z81,AA81,AC81,AD81,AF81,AG81)*Valores!$C$104</f>
        <v>58735.356</v>
      </c>
      <c r="AI81" s="125">
        <f t="shared" si="16"/>
        <v>646088.916</v>
      </c>
      <c r="AJ81" s="125">
        <f>Valores!$C$31</f>
        <v>35000</v>
      </c>
      <c r="AK81" s="125">
        <v>0</v>
      </c>
      <c r="AL81" s="125">
        <f>Valores!$C$90</f>
        <v>0</v>
      </c>
      <c r="AM81" s="125">
        <f>Valores!C$39*B81</f>
        <v>0</v>
      </c>
      <c r="AN81" s="125">
        <f>IF($F$3="NO",0,Valores!$C$57)</f>
        <v>0</v>
      </c>
      <c r="AO81" s="125">
        <f t="shared" si="14"/>
        <v>35000</v>
      </c>
      <c r="AP81" s="125">
        <f>AI81*Valores!$C$72</f>
        <v>-71069.78076</v>
      </c>
      <c r="AQ81" s="125">
        <f>IF(AI81&lt;Valores!$E$73,-0.02,IF(AI81&lt;Valores!$F$73,-0.03,-0.04))*AI81</f>
        <v>-12921.77832</v>
      </c>
      <c r="AR81" s="125">
        <f>AI81*Valores!$C$75</f>
        <v>-35534.89038</v>
      </c>
      <c r="AS81" s="125">
        <f>Valores!$C$102</f>
        <v>-1270.16</v>
      </c>
      <c r="AT81" s="125">
        <f>IF($F$5=0,Valores!$C$103,(Valores!$C$103+$F$5*(Valores!$C$103)))</f>
        <v>-11714</v>
      </c>
      <c r="AU81" s="125">
        <f t="shared" si="17"/>
        <v>548578.30654</v>
      </c>
      <c r="AV81" s="125">
        <f t="shared" si="11"/>
        <v>-71069.78076</v>
      </c>
      <c r="AW81" s="125">
        <f t="shared" si="18"/>
        <v>-12921.77832</v>
      </c>
      <c r="AX81" s="125">
        <f>AI81*Valores!$C$76</f>
        <v>-17444.400732</v>
      </c>
      <c r="AY81" s="125">
        <f>AI81*Valores!$C$77</f>
        <v>-1938.266748</v>
      </c>
      <c r="AZ81" s="125">
        <f t="shared" si="15"/>
        <v>577714.68944</v>
      </c>
      <c r="BA81" s="125">
        <f>AI81*Valores!$C$79</f>
        <v>103374.22656</v>
      </c>
      <c r="BB81" s="125">
        <f>AI81*Valores!$C$80</f>
        <v>45226.22412</v>
      </c>
      <c r="BC81" s="125">
        <f>AI81*Valores!$C$81</f>
        <v>6460.88916</v>
      </c>
      <c r="BD81" s="125">
        <f>AI81*Valores!$C$83</f>
        <v>22613.11206</v>
      </c>
      <c r="BE81" s="125">
        <f>AI81*Valores!$C$85</f>
        <v>34888.801464</v>
      </c>
      <c r="BF81" s="125">
        <f>AI81*Valores!$C$84</f>
        <v>3876.533496</v>
      </c>
      <c r="BG81" s="126"/>
      <c r="BH81" s="126">
        <v>25</v>
      </c>
      <c r="BI81" s="123" t="s">
        <v>8</v>
      </c>
    </row>
    <row r="82" spans="1:61" s="110" customFormat="1" ht="11.25" customHeight="1">
      <c r="A82" s="123" t="s">
        <v>252</v>
      </c>
      <c r="B82" s="123">
        <v>1</v>
      </c>
      <c r="C82" s="126">
        <v>75</v>
      </c>
      <c r="D82" s="124" t="s">
        <v>253</v>
      </c>
      <c r="E82" s="192">
        <v>76</v>
      </c>
      <c r="F82" s="125">
        <f>ROUND(E82*Valores!$C$2,2)</f>
        <v>6291.28</v>
      </c>
      <c r="G82" s="192">
        <v>1872</v>
      </c>
      <c r="H82" s="125">
        <f>ROUND(G82*Valores!$C$2,2)</f>
        <v>154964.16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57917.16</v>
      </c>
      <c r="N82" s="125">
        <f t="shared" si="12"/>
        <v>0</v>
      </c>
      <c r="O82" s="125">
        <f>Valores!$C$9</f>
        <v>104016.7</v>
      </c>
      <c r="P82" s="125">
        <f>Valores!$D$5</f>
        <v>42317.14</v>
      </c>
      <c r="Q82" s="125">
        <v>0</v>
      </c>
      <c r="R82" s="125">
        <f>IF($F$4="NO",Valores!$C$46,Valores!$C$46/2)</f>
        <v>31038.89</v>
      </c>
      <c r="S82" s="125">
        <f>Valores!$C$19</f>
        <v>39374.32</v>
      </c>
      <c r="T82" s="125">
        <f t="shared" si="19"/>
        <v>39374.32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Valores!$C$97</f>
        <v>69533</v>
      </c>
      <c r="AA82" s="125">
        <f>Valores!$C$25</f>
        <v>1730.69</v>
      </c>
      <c r="AB82" s="214">
        <v>0</v>
      </c>
      <c r="AC82" s="125">
        <f t="shared" si="13"/>
        <v>0</v>
      </c>
      <c r="AD82" s="125">
        <f>Valores!$C$26</f>
        <v>1730.69</v>
      </c>
      <c r="AE82" s="192">
        <v>0</v>
      </c>
      <c r="AF82" s="125">
        <f>ROUND(AE82*Valores!$C$2,2)</f>
        <v>0</v>
      </c>
      <c r="AG82" s="125">
        <f>ROUND(IF($F$4="NO",Valores!$C$64,Valores!$C$64/2),2)</f>
        <v>19786.28</v>
      </c>
      <c r="AH82" s="125">
        <f>SUM(F82,H82,J82,L82,M82,N82,O82,P82,Q82,R82,T82,U82,V82,X82,Y82,Z82,AA82,AC82,AD82,AF82,AG82)*Valores!$C$104</f>
        <v>52870.03100000001</v>
      </c>
      <c r="AI82" s="125">
        <f t="shared" si="16"/>
        <v>581570.341</v>
      </c>
      <c r="AJ82" s="125">
        <f>Valores!$C$31</f>
        <v>35000</v>
      </c>
      <c r="AK82" s="125">
        <v>0</v>
      </c>
      <c r="AL82" s="125">
        <f>Valores!$C$90</f>
        <v>0</v>
      </c>
      <c r="AM82" s="125">
        <f>Valores!C$39*B82</f>
        <v>0</v>
      </c>
      <c r="AN82" s="125">
        <f>IF($F$3="NO",0,Valores!$C$57)</f>
        <v>0</v>
      </c>
      <c r="AO82" s="125">
        <f t="shared" si="14"/>
        <v>35000</v>
      </c>
      <c r="AP82" s="125">
        <f>AI82*Valores!$C$72</f>
        <v>-63972.73751</v>
      </c>
      <c r="AQ82" s="125">
        <f>IF(AI82&lt;Valores!$E$73,-0.02,IF(AI82&lt;Valores!$F$73,-0.03,-0.04))*AI82</f>
        <v>-11631.40682</v>
      </c>
      <c r="AR82" s="125">
        <f>AI82*Valores!$C$75</f>
        <v>-31986.368755</v>
      </c>
      <c r="AS82" s="125">
        <f>Valores!$C$102</f>
        <v>-1270.16</v>
      </c>
      <c r="AT82" s="125">
        <f>IF($F$5=0,Valores!$C$103,(Valores!$C$103+$F$5*(Valores!$C$103)))</f>
        <v>-11714</v>
      </c>
      <c r="AU82" s="125">
        <f t="shared" si="17"/>
        <v>495995.667915</v>
      </c>
      <c r="AV82" s="125">
        <f t="shared" si="11"/>
        <v>-63972.73751</v>
      </c>
      <c r="AW82" s="125">
        <f t="shared" si="18"/>
        <v>-11631.40682</v>
      </c>
      <c r="AX82" s="125">
        <f>AI82*Valores!$C$76</f>
        <v>-15702.399207</v>
      </c>
      <c r="AY82" s="125">
        <f>AI82*Valores!$C$77</f>
        <v>-1744.711023</v>
      </c>
      <c r="AZ82" s="125">
        <f t="shared" si="15"/>
        <v>523519.08644000004</v>
      </c>
      <c r="BA82" s="125">
        <f>AI82*Valores!$C$79</f>
        <v>93051.25456</v>
      </c>
      <c r="BB82" s="125">
        <f>AI82*Valores!$C$80</f>
        <v>40709.923870000006</v>
      </c>
      <c r="BC82" s="125">
        <f>AI82*Valores!$C$81</f>
        <v>5815.70341</v>
      </c>
      <c r="BD82" s="125">
        <f>AI82*Valores!$C$83</f>
        <v>20354.961935000003</v>
      </c>
      <c r="BE82" s="125">
        <f>AI82*Valores!$C$85</f>
        <v>31404.798414</v>
      </c>
      <c r="BF82" s="125">
        <f>AI82*Valores!$C$84</f>
        <v>3489.422046</v>
      </c>
      <c r="BG82" s="126"/>
      <c r="BH82" s="126">
        <v>30</v>
      </c>
      <c r="BI82" s="123" t="s">
        <v>8</v>
      </c>
    </row>
    <row r="83" spans="1:61" s="110" customFormat="1" ht="11.25" customHeight="1">
      <c r="A83" s="123" t="s">
        <v>254</v>
      </c>
      <c r="B83" s="123">
        <v>1</v>
      </c>
      <c r="C83" s="126">
        <v>76</v>
      </c>
      <c r="D83" s="124" t="s">
        <v>255</v>
      </c>
      <c r="E83" s="192">
        <v>75</v>
      </c>
      <c r="F83" s="125">
        <f>ROUND(E83*Valores!$C$2,2)</f>
        <v>6208.5</v>
      </c>
      <c r="G83" s="192">
        <v>1873</v>
      </c>
      <c r="H83" s="125">
        <f>ROUND(G83*Valores!$C$2,2)</f>
        <v>155046.94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57917.16</v>
      </c>
      <c r="N83" s="125">
        <f t="shared" si="12"/>
        <v>0</v>
      </c>
      <c r="O83" s="125">
        <f>Valores!$C$9</f>
        <v>104016.7</v>
      </c>
      <c r="P83" s="125">
        <f>Valores!$D$5</f>
        <v>42317.14</v>
      </c>
      <c r="Q83" s="125">
        <f>Valores!$C$22</f>
        <v>37751.3</v>
      </c>
      <c r="R83" s="125">
        <f>IF($F$4="NO",Valores!$C$46,Valores!$C$46/2)</f>
        <v>31038.89</v>
      </c>
      <c r="S83" s="125">
        <f>Valores!$C$19</f>
        <v>39374.32</v>
      </c>
      <c r="T83" s="125">
        <f t="shared" si="19"/>
        <v>39374.32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Valores!$C$97</f>
        <v>69533</v>
      </c>
      <c r="AA83" s="125">
        <f>Valores!$C$25</f>
        <v>1730.69</v>
      </c>
      <c r="AB83" s="214">
        <v>0</v>
      </c>
      <c r="AC83" s="125">
        <f t="shared" si="13"/>
        <v>0</v>
      </c>
      <c r="AD83" s="125">
        <f>Valores!$C$26</f>
        <v>1730.69</v>
      </c>
      <c r="AE83" s="192">
        <v>0</v>
      </c>
      <c r="AF83" s="125">
        <f>ROUND(AE83*Valores!$C$2,2)</f>
        <v>0</v>
      </c>
      <c r="AG83" s="125">
        <f>ROUND(IF($F$4="NO",Valores!$C$64,Valores!$C$64/2),2)</f>
        <v>19786.28</v>
      </c>
      <c r="AH83" s="125">
        <f>SUM(F83,H83,J83,L83,M83,N83,O83,P83,Q83,R83,T83,U83,V83,X83,Y83,Z83,AA83,AC83,AD83,AF83,AG83)*Valores!$C$104</f>
        <v>56645.16099999999</v>
      </c>
      <c r="AI83" s="125">
        <f t="shared" si="16"/>
        <v>623096.7709999998</v>
      </c>
      <c r="AJ83" s="125">
        <f>Valores!$C$31</f>
        <v>35000</v>
      </c>
      <c r="AK83" s="125">
        <v>0</v>
      </c>
      <c r="AL83" s="125">
        <f>Valores!$C$90</f>
        <v>0</v>
      </c>
      <c r="AM83" s="125">
        <f>Valores!C$39*B83</f>
        <v>0</v>
      </c>
      <c r="AN83" s="125">
        <f>IF($F$3="NO",0,Valores!$C$57)</f>
        <v>0</v>
      </c>
      <c r="AO83" s="125">
        <f t="shared" si="14"/>
        <v>35000</v>
      </c>
      <c r="AP83" s="125">
        <f>AI83*Valores!$C$72</f>
        <v>-68540.64480999998</v>
      </c>
      <c r="AQ83" s="125">
        <f>IF(AI83&lt;Valores!$E$73,-0.02,IF(AI83&lt;Valores!$F$73,-0.03,-0.04))*AI83</f>
        <v>-12461.935419999996</v>
      </c>
      <c r="AR83" s="125">
        <f>AI83*Valores!$C$75</f>
        <v>-34270.32240499999</v>
      </c>
      <c r="AS83" s="125">
        <f>Valores!$C$102</f>
        <v>-1270.16</v>
      </c>
      <c r="AT83" s="125">
        <f>IF($F$5=0,Valores!$C$103,(Valores!$C$103+$F$5*(Valores!$C$103)))</f>
        <v>-11714</v>
      </c>
      <c r="AU83" s="125">
        <f t="shared" si="17"/>
        <v>529839.7083649999</v>
      </c>
      <c r="AV83" s="125">
        <f t="shared" si="11"/>
        <v>-68540.64480999998</v>
      </c>
      <c r="AW83" s="125">
        <f t="shared" si="18"/>
        <v>-12461.935419999996</v>
      </c>
      <c r="AX83" s="125">
        <f>AI83*Valores!$C$76</f>
        <v>-16823.612816999994</v>
      </c>
      <c r="AY83" s="125">
        <f>AI83*Valores!$C$77</f>
        <v>-1869.2903129999995</v>
      </c>
      <c r="AZ83" s="125">
        <f t="shared" si="15"/>
        <v>558401.2876399999</v>
      </c>
      <c r="BA83" s="125">
        <f>AI83*Valores!$C$79</f>
        <v>99695.48335999997</v>
      </c>
      <c r="BB83" s="125">
        <f>AI83*Valores!$C$80</f>
        <v>43616.773969999995</v>
      </c>
      <c r="BC83" s="125">
        <f>AI83*Valores!$C$81</f>
        <v>6230.967709999998</v>
      </c>
      <c r="BD83" s="125">
        <f>AI83*Valores!$C$83</f>
        <v>21808.386984999997</v>
      </c>
      <c r="BE83" s="125">
        <f>AI83*Valores!$C$85</f>
        <v>33647.22563399999</v>
      </c>
      <c r="BF83" s="125">
        <f>AI83*Valores!$C$84</f>
        <v>3738.580625999999</v>
      </c>
      <c r="BG83" s="126"/>
      <c r="BH83" s="126">
        <v>25</v>
      </c>
      <c r="BI83" s="123" t="s">
        <v>4</v>
      </c>
    </row>
    <row r="84" spans="1:61" s="110" customFormat="1" ht="11.25" customHeight="1">
      <c r="A84" s="123" t="s">
        <v>256</v>
      </c>
      <c r="B84" s="123">
        <v>1</v>
      </c>
      <c r="C84" s="126">
        <v>77</v>
      </c>
      <c r="D84" s="124" t="s">
        <v>257</v>
      </c>
      <c r="E84" s="192">
        <v>76</v>
      </c>
      <c r="F84" s="125">
        <f>ROUND(E84*Valores!$C$2,2)</f>
        <v>6291.28</v>
      </c>
      <c r="G84" s="192">
        <v>1752</v>
      </c>
      <c r="H84" s="125">
        <f>ROUND(G84*Valores!$C$2,2)</f>
        <v>145030.56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55022.91</v>
      </c>
      <c r="N84" s="125">
        <f t="shared" si="12"/>
        <v>0</v>
      </c>
      <c r="O84" s="125">
        <f>Valores!$C$8</f>
        <v>103748.61</v>
      </c>
      <c r="P84" s="125">
        <f>Valores!$D$5</f>
        <v>42317.14</v>
      </c>
      <c r="Q84" s="125">
        <f>Valores!$C$22</f>
        <v>37751.3</v>
      </c>
      <c r="R84" s="125">
        <f>IF($F$4="NO",Valores!$C$45,Valores!$C$45/2)</f>
        <v>29395.49</v>
      </c>
      <c r="S84" s="125">
        <f>Valores!$C$19</f>
        <v>39374.32</v>
      </c>
      <c r="T84" s="125">
        <f t="shared" si="19"/>
        <v>39374.32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Valores!$C$96</f>
        <v>57944.18</v>
      </c>
      <c r="AA84" s="125">
        <f>Valores!$C$25</f>
        <v>1730.69</v>
      </c>
      <c r="AB84" s="214">
        <v>0</v>
      </c>
      <c r="AC84" s="125">
        <f t="shared" si="13"/>
        <v>0</v>
      </c>
      <c r="AD84" s="125">
        <f>Valores!$C$26</f>
        <v>1730.69</v>
      </c>
      <c r="AE84" s="192">
        <v>0</v>
      </c>
      <c r="AF84" s="125">
        <f>ROUND(AE84*Valores!$C$2,2)</f>
        <v>0</v>
      </c>
      <c r="AG84" s="125">
        <f>ROUND(IF($F$4="NO",Valores!$C$64,Valores!$C$64/2),2)</f>
        <v>19786.28</v>
      </c>
      <c r="AH84" s="125">
        <f>SUM(F84,H84,J84,L84,M84,N84,O84,P84,Q84,R84,T84,U84,V84,X84,Y84,Z84,AA84,AC84,AD84,AF84,AG84)*Valores!$C$104</f>
        <v>54012.345</v>
      </c>
      <c r="AI84" s="125">
        <f t="shared" si="16"/>
        <v>594135.7949999999</v>
      </c>
      <c r="AJ84" s="125">
        <f>Valores!$C$31</f>
        <v>35000</v>
      </c>
      <c r="AK84" s="125">
        <v>0</v>
      </c>
      <c r="AL84" s="125">
        <f>Valores!$C$89</f>
        <v>0</v>
      </c>
      <c r="AM84" s="125">
        <f>Valores!C$39*B84</f>
        <v>0</v>
      </c>
      <c r="AN84" s="125">
        <f>IF($F$3="NO",0,Valores!$C$57)</f>
        <v>0</v>
      </c>
      <c r="AO84" s="125">
        <f t="shared" si="14"/>
        <v>35000</v>
      </c>
      <c r="AP84" s="125">
        <f>AI84*Valores!$C$72</f>
        <v>-65354.93744999999</v>
      </c>
      <c r="AQ84" s="125">
        <f>IF(AI84&lt;Valores!$E$73,-0.02,IF(AI84&lt;Valores!$F$73,-0.03,-0.04))*AI84</f>
        <v>-11882.7159</v>
      </c>
      <c r="AR84" s="125">
        <f>AI84*Valores!$C$75</f>
        <v>-32677.468724999995</v>
      </c>
      <c r="AS84" s="125">
        <f>Valores!$C$102</f>
        <v>-1270.16</v>
      </c>
      <c r="AT84" s="125">
        <f>IF($F$5=0,Valores!$C$103,(Valores!$C$103+$F$5*(Valores!$C$103)))</f>
        <v>-11714</v>
      </c>
      <c r="AU84" s="125">
        <f t="shared" si="17"/>
        <v>506236.51292499993</v>
      </c>
      <c r="AV84" s="125">
        <f t="shared" si="11"/>
        <v>-65354.93744999999</v>
      </c>
      <c r="AW84" s="125">
        <f t="shared" si="18"/>
        <v>-11882.7159</v>
      </c>
      <c r="AX84" s="125">
        <f>AI84*Valores!$C$76</f>
        <v>-16041.666464999998</v>
      </c>
      <c r="AY84" s="125">
        <f>AI84*Valores!$C$77</f>
        <v>-1782.4073849999997</v>
      </c>
      <c r="AZ84" s="125">
        <f t="shared" si="15"/>
        <v>534074.0678</v>
      </c>
      <c r="BA84" s="125">
        <f>AI84*Valores!$C$79</f>
        <v>95061.7272</v>
      </c>
      <c r="BB84" s="125">
        <f>AI84*Valores!$C$80</f>
        <v>41589.50565</v>
      </c>
      <c r="BC84" s="125">
        <f>AI84*Valores!$C$81</f>
        <v>5941.35795</v>
      </c>
      <c r="BD84" s="125">
        <f>AI84*Valores!$C$83</f>
        <v>20794.752825</v>
      </c>
      <c r="BE84" s="125">
        <f>AI84*Valores!$C$85</f>
        <v>32083.332929999997</v>
      </c>
      <c r="BF84" s="125">
        <f>AI84*Valores!$C$84</f>
        <v>3564.8147699999995</v>
      </c>
      <c r="BG84" s="126"/>
      <c r="BH84" s="126">
        <v>25</v>
      </c>
      <c r="BI84" s="123" t="s">
        <v>8</v>
      </c>
    </row>
    <row r="85" spans="1:61" s="110" customFormat="1" ht="11.25" customHeight="1">
      <c r="A85" s="123" t="s">
        <v>258</v>
      </c>
      <c r="B85" s="123">
        <v>1</v>
      </c>
      <c r="C85" s="126">
        <v>78</v>
      </c>
      <c r="D85" s="124" t="s">
        <v>259</v>
      </c>
      <c r="E85" s="192">
        <v>78</v>
      </c>
      <c r="F85" s="125">
        <f>ROUND(E85*Valores!$C$2,2)</f>
        <v>6456.84</v>
      </c>
      <c r="G85" s="192">
        <v>1770</v>
      </c>
      <c r="H85" s="125">
        <f>ROUND(G85*Valores!$C$2,2)</f>
        <v>146520.6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55022.75</v>
      </c>
      <c r="N85" s="125">
        <f t="shared" si="12"/>
        <v>0</v>
      </c>
      <c r="O85" s="125">
        <f>Valores!$C$10</f>
        <v>84706.85</v>
      </c>
      <c r="P85" s="125">
        <f>Valores!$D$5</f>
        <v>42317.14</v>
      </c>
      <c r="Q85" s="125">
        <f>Valores!$C$22</f>
        <v>37751.3</v>
      </c>
      <c r="R85" s="125">
        <f>IF($F$4="NO",Valores!$C$44,Valores!$C$44/2)</f>
        <v>27739.24</v>
      </c>
      <c r="S85" s="125">
        <f>Valores!$C$19</f>
        <v>39374.32</v>
      </c>
      <c r="T85" s="125">
        <f t="shared" si="19"/>
        <v>39374.32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Valores!$C$96</f>
        <v>57944.18</v>
      </c>
      <c r="AA85" s="125">
        <f>Valores!$C$25</f>
        <v>1730.69</v>
      </c>
      <c r="AB85" s="214">
        <v>0</v>
      </c>
      <c r="AC85" s="125">
        <f t="shared" si="13"/>
        <v>0</v>
      </c>
      <c r="AD85" s="125">
        <f>Valores!$C$26</f>
        <v>1730.69</v>
      </c>
      <c r="AE85" s="192">
        <v>0</v>
      </c>
      <c r="AF85" s="125">
        <f>ROUND(AE85*Valores!$C$2,2)</f>
        <v>0</v>
      </c>
      <c r="AG85" s="125">
        <f>ROUND(IF($F$4="NO",Valores!$C$64,Valores!$C$64/2),2)</f>
        <v>19786.28</v>
      </c>
      <c r="AH85" s="125">
        <f>SUM(F85,H85,J85,L85,M85,N85,O85,P85,Q85,R85,T85,U85,V85,X85,Y85,Z85,AA85,AC85,AD85,AF85,AG85)*Valores!$C$104</f>
        <v>52108.088</v>
      </c>
      <c r="AI85" s="125">
        <f t="shared" si="16"/>
        <v>573188.968</v>
      </c>
      <c r="AJ85" s="125">
        <f>Valores!$C$31</f>
        <v>35000</v>
      </c>
      <c r="AK85" s="125">
        <v>0</v>
      </c>
      <c r="AL85" s="125">
        <f>Valores!$C$89</f>
        <v>0</v>
      </c>
      <c r="AM85" s="125">
        <f>Valores!C$39*B85</f>
        <v>0</v>
      </c>
      <c r="AN85" s="125">
        <f>IF($F$3="NO",0,Valores!$C$57)</f>
        <v>0</v>
      </c>
      <c r="AO85" s="125">
        <f t="shared" si="14"/>
        <v>35000</v>
      </c>
      <c r="AP85" s="125">
        <f>AI85*Valores!$C$72</f>
        <v>-63050.78648</v>
      </c>
      <c r="AQ85" s="125">
        <f>IF(AI85&lt;Valores!$E$73,-0.02,IF(AI85&lt;Valores!$F$73,-0.03,-0.04))*AI85</f>
        <v>-11463.77936</v>
      </c>
      <c r="AR85" s="125">
        <f>AI85*Valores!$C$75</f>
        <v>-31525.39324</v>
      </c>
      <c r="AS85" s="125">
        <f>Valores!$C$102</f>
        <v>-1270.16</v>
      </c>
      <c r="AT85" s="125">
        <f>IF($F$5=0,Valores!$C$103,(Valores!$C$103+$F$5*(Valores!$C$103)))</f>
        <v>-11714</v>
      </c>
      <c r="AU85" s="125">
        <f t="shared" si="17"/>
        <v>489164.84892</v>
      </c>
      <c r="AV85" s="125">
        <f t="shared" si="11"/>
        <v>-63050.78648</v>
      </c>
      <c r="AW85" s="125">
        <f t="shared" si="18"/>
        <v>-11463.77936</v>
      </c>
      <c r="AX85" s="125">
        <f>AI85*Valores!$C$76</f>
        <v>-15476.102136</v>
      </c>
      <c r="AY85" s="125">
        <f>AI85*Valores!$C$77</f>
        <v>-1719.566904</v>
      </c>
      <c r="AZ85" s="125">
        <f t="shared" si="15"/>
        <v>516478.73312</v>
      </c>
      <c r="BA85" s="125">
        <f>AI85*Valores!$C$79</f>
        <v>91710.23488</v>
      </c>
      <c r="BB85" s="125">
        <f>AI85*Valores!$C$80</f>
        <v>40123.22776</v>
      </c>
      <c r="BC85" s="125">
        <f>AI85*Valores!$C$81</f>
        <v>5731.88968</v>
      </c>
      <c r="BD85" s="125">
        <f>AI85*Valores!$C$83</f>
        <v>20061.61388</v>
      </c>
      <c r="BE85" s="125">
        <f>AI85*Valores!$C$85</f>
        <v>30952.204272</v>
      </c>
      <c r="BF85" s="125">
        <f>AI85*Valores!$C$84</f>
        <v>3439.133808</v>
      </c>
      <c r="BG85" s="126"/>
      <c r="BH85" s="126">
        <v>27</v>
      </c>
      <c r="BI85" s="123" t="s">
        <v>4</v>
      </c>
    </row>
    <row r="86" spans="1:61" s="110" customFormat="1" ht="11.25" customHeight="1">
      <c r="A86" s="123" t="s">
        <v>260</v>
      </c>
      <c r="B86" s="123">
        <v>1</v>
      </c>
      <c r="C86" s="126">
        <v>79</v>
      </c>
      <c r="D86" s="124" t="s">
        <v>261</v>
      </c>
      <c r="E86" s="192">
        <v>76</v>
      </c>
      <c r="F86" s="125">
        <f>ROUND(E86*Valores!$C$2,2)</f>
        <v>6291.28</v>
      </c>
      <c r="G86" s="192">
        <v>1872</v>
      </c>
      <c r="H86" s="125">
        <f>ROUND(G86*Valores!$C$2,2)</f>
        <v>154964.16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57092.25</v>
      </c>
      <c r="N86" s="125">
        <f t="shared" si="12"/>
        <v>0</v>
      </c>
      <c r="O86" s="125">
        <f>Valores!$C$10</f>
        <v>84706.85</v>
      </c>
      <c r="P86" s="125">
        <f>Valores!$D$5</f>
        <v>42317.14</v>
      </c>
      <c r="Q86" s="125">
        <v>0</v>
      </c>
      <c r="R86" s="125">
        <f>IF($F$4="NO",Valores!$C$44,Valores!$C$44/2)</f>
        <v>27739.24</v>
      </c>
      <c r="S86" s="125">
        <f>Valores!$C$19</f>
        <v>39374.32</v>
      </c>
      <c r="T86" s="125">
        <f t="shared" si="19"/>
        <v>39374.32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Valores!$C$96</f>
        <v>57944.18</v>
      </c>
      <c r="AA86" s="125">
        <f>Valores!$C$25</f>
        <v>1730.69</v>
      </c>
      <c r="AB86" s="214">
        <v>0</v>
      </c>
      <c r="AC86" s="125">
        <f t="shared" si="13"/>
        <v>0</v>
      </c>
      <c r="AD86" s="125">
        <f>Valores!$C$26</f>
        <v>1730.69</v>
      </c>
      <c r="AE86" s="192">
        <v>0</v>
      </c>
      <c r="AF86" s="125">
        <f>ROUND(AE86*Valores!$C$2,2)</f>
        <v>0</v>
      </c>
      <c r="AG86" s="125">
        <f>ROUND(IF($F$4="NO",Valores!$C$64,Valores!$C$64/2),2)</f>
        <v>19786.28</v>
      </c>
      <c r="AH86" s="125">
        <f>SUM(F86,H86,J86,L86,M86,N86,O86,P86,Q86,R86,T86,U86,V86,X86,Y86,Z86,AA86,AC86,AD86,AF86,AG86)*Valores!$C$104</f>
        <v>49367.70800000001</v>
      </c>
      <c r="AI86" s="125">
        <f t="shared" si="16"/>
        <v>543044.7880000001</v>
      </c>
      <c r="AJ86" s="125">
        <f>Valores!$C$31</f>
        <v>35000</v>
      </c>
      <c r="AK86" s="125">
        <v>0</v>
      </c>
      <c r="AL86" s="125">
        <f>Valores!$C$89</f>
        <v>0</v>
      </c>
      <c r="AM86" s="125">
        <f>Valores!C$39*B86</f>
        <v>0</v>
      </c>
      <c r="AN86" s="125">
        <f>IF($F$3="NO",0,Valores!$C$57)</f>
        <v>0</v>
      </c>
      <c r="AO86" s="125">
        <f t="shared" si="14"/>
        <v>35000</v>
      </c>
      <c r="AP86" s="125">
        <f>AI86*Valores!$C$72</f>
        <v>-59734.926680000004</v>
      </c>
      <c r="AQ86" s="125">
        <f>IF(AI86&lt;Valores!$E$73,-0.02,IF(AI86&lt;Valores!$F$73,-0.03,-0.04))*AI86</f>
        <v>-10860.895760000001</v>
      </c>
      <c r="AR86" s="125">
        <f>AI86*Valores!$C$75</f>
        <v>-29867.463340000002</v>
      </c>
      <c r="AS86" s="125">
        <f>Valores!$C$102</f>
        <v>-1270.16</v>
      </c>
      <c r="AT86" s="125">
        <f>IF($F$5=0,Valores!$C$103,(Valores!$C$103+$F$5*(Valores!$C$103)))</f>
        <v>-11714</v>
      </c>
      <c r="AU86" s="125">
        <f t="shared" si="17"/>
        <v>464597.34222000005</v>
      </c>
      <c r="AV86" s="125">
        <f t="shared" si="11"/>
        <v>-59734.926680000004</v>
      </c>
      <c r="AW86" s="125">
        <f t="shared" si="18"/>
        <v>-10860.895760000001</v>
      </c>
      <c r="AX86" s="125">
        <f>AI86*Valores!$C$76</f>
        <v>-14662.209276000001</v>
      </c>
      <c r="AY86" s="125">
        <f>AI86*Valores!$C$77</f>
        <v>-1629.1343640000002</v>
      </c>
      <c r="AZ86" s="125">
        <f t="shared" si="15"/>
        <v>491157.62192000006</v>
      </c>
      <c r="BA86" s="125">
        <f>AI86*Valores!$C$79</f>
        <v>86887.16608000001</v>
      </c>
      <c r="BB86" s="125">
        <f>AI86*Valores!$C$80</f>
        <v>38013.135160000005</v>
      </c>
      <c r="BC86" s="125">
        <f>AI86*Valores!$C$81</f>
        <v>5430.447880000001</v>
      </c>
      <c r="BD86" s="125">
        <f>AI86*Valores!$C$83</f>
        <v>19006.567580000003</v>
      </c>
      <c r="BE86" s="125">
        <f>AI86*Valores!$C$85</f>
        <v>29324.418552000003</v>
      </c>
      <c r="BF86" s="125">
        <f>AI86*Valores!$C$84</f>
        <v>3258.2687280000005</v>
      </c>
      <c r="BG86" s="126"/>
      <c r="BH86" s="126">
        <v>27</v>
      </c>
      <c r="BI86" s="123" t="s">
        <v>4</v>
      </c>
    </row>
    <row r="87" spans="1:61" s="110" customFormat="1" ht="11.25" customHeight="1">
      <c r="A87" s="123" t="s">
        <v>262</v>
      </c>
      <c r="B87" s="123">
        <v>1</v>
      </c>
      <c r="C87" s="126">
        <v>80</v>
      </c>
      <c r="D87" s="124" t="s">
        <v>263</v>
      </c>
      <c r="E87" s="192">
        <v>169</v>
      </c>
      <c r="F87" s="125">
        <f>ROUND(E87*Valores!$C$2,2)</f>
        <v>13989.82</v>
      </c>
      <c r="G87" s="192">
        <f>1997</f>
        <v>1997</v>
      </c>
      <c r="H87" s="125">
        <f>ROUND(G87*Valores!$C$2,2)</f>
        <v>165311.66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62017.82</v>
      </c>
      <c r="N87" s="125">
        <f t="shared" si="12"/>
        <v>0</v>
      </c>
      <c r="O87" s="125">
        <f>Valores!$C$9</f>
        <v>104016.7</v>
      </c>
      <c r="P87" s="125">
        <f>Valores!$D$5</f>
        <v>42317.14</v>
      </c>
      <c r="Q87" s="125">
        <f>Valores!$C$22</f>
        <v>37751.3</v>
      </c>
      <c r="R87" s="125">
        <f>IF($F$4="NO",Valores!$C$45,Valores!$C$45/2)</f>
        <v>29395.49</v>
      </c>
      <c r="S87" s="125">
        <f>Valores!$C$19</f>
        <v>39374.32</v>
      </c>
      <c r="T87" s="125">
        <f t="shared" si="19"/>
        <v>39374.32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Valores!$C$96</f>
        <v>57944.18</v>
      </c>
      <c r="AA87" s="125">
        <f>Valores!$C$25</f>
        <v>1730.69</v>
      </c>
      <c r="AB87" s="214">
        <v>0</v>
      </c>
      <c r="AC87" s="125">
        <f t="shared" si="13"/>
        <v>0</v>
      </c>
      <c r="AD87" s="125">
        <f>Valores!$C$26</f>
        <v>1730.69</v>
      </c>
      <c r="AE87" s="192">
        <v>0</v>
      </c>
      <c r="AF87" s="125">
        <f>ROUND(AE87*Valores!$C$2,2)</f>
        <v>0</v>
      </c>
      <c r="AG87" s="125">
        <f>ROUND(IF($F$4="NO",Valores!$C$64,Valores!$C$64/2),2)</f>
        <v>19786.28</v>
      </c>
      <c r="AH87" s="125">
        <f>SUM(F87,H87,J87,L87,M87,N87,O87,P87,Q87,R87,T87,U87,V87,X87,Y87,Z87,AA87,AC87,AD87,AF87,AG87)*Valores!$C$104</f>
        <v>57536.609</v>
      </c>
      <c r="AI87" s="125">
        <f t="shared" si="16"/>
        <v>632902.699</v>
      </c>
      <c r="AJ87" s="125">
        <f>Valores!$C$31</f>
        <v>35000</v>
      </c>
      <c r="AK87" s="125">
        <v>0</v>
      </c>
      <c r="AL87" s="125">
        <f>Valores!$C$89</f>
        <v>0</v>
      </c>
      <c r="AM87" s="125">
        <f>Valores!C$39*B87</f>
        <v>0</v>
      </c>
      <c r="AN87" s="125">
        <f>IF($F$3="NO",0,Valores!$C$57)</f>
        <v>0</v>
      </c>
      <c r="AO87" s="125">
        <f t="shared" si="14"/>
        <v>35000</v>
      </c>
      <c r="AP87" s="125">
        <f>AI87*Valores!$C$72</f>
        <v>-69619.29689</v>
      </c>
      <c r="AQ87" s="125">
        <f>IF(AI87&lt;Valores!$E$73,-0.02,IF(AI87&lt;Valores!$F$73,-0.03,-0.04))*AI87</f>
        <v>-12658.05398</v>
      </c>
      <c r="AR87" s="125">
        <f>AI87*Valores!$C$75</f>
        <v>-34809.648445</v>
      </c>
      <c r="AS87" s="125">
        <f>Valores!$C$102</f>
        <v>-1270.16</v>
      </c>
      <c r="AT87" s="125">
        <f>IF($F$5=0,Valores!$C$103,(Valores!$C$103+$F$5*(Valores!$C$103)))</f>
        <v>-11714</v>
      </c>
      <c r="AU87" s="125">
        <f t="shared" si="17"/>
        <v>537831.539685</v>
      </c>
      <c r="AV87" s="125">
        <f t="shared" si="11"/>
        <v>-69619.29689</v>
      </c>
      <c r="AW87" s="125">
        <f t="shared" si="18"/>
        <v>-12658.05398</v>
      </c>
      <c r="AX87" s="125">
        <f>AI87*Valores!$C$76</f>
        <v>-17088.372873</v>
      </c>
      <c r="AY87" s="125">
        <f>AI87*Valores!$C$77</f>
        <v>-1898.7080970000002</v>
      </c>
      <c r="AZ87" s="125">
        <f t="shared" si="15"/>
        <v>566638.26716</v>
      </c>
      <c r="BA87" s="125">
        <f>AI87*Valores!$C$79</f>
        <v>101264.43184</v>
      </c>
      <c r="BB87" s="125">
        <f>AI87*Valores!$C$80</f>
        <v>44303.188930000004</v>
      </c>
      <c r="BC87" s="125">
        <f>AI87*Valores!$C$81</f>
        <v>6329.02699</v>
      </c>
      <c r="BD87" s="125">
        <f>AI87*Valores!$C$83</f>
        <v>22151.594465000002</v>
      </c>
      <c r="BE87" s="125">
        <f>AI87*Valores!$C$85</f>
        <v>34176.745746</v>
      </c>
      <c r="BF87" s="125">
        <f>AI87*Valores!$C$84</f>
        <v>3797.4161940000004</v>
      </c>
      <c r="BG87" s="126"/>
      <c r="BH87" s="126">
        <v>25</v>
      </c>
      <c r="BI87" s="123" t="s">
        <v>8</v>
      </c>
    </row>
    <row r="88" spans="1:61" s="110" customFormat="1" ht="11.25" customHeight="1">
      <c r="A88" s="123" t="s">
        <v>264</v>
      </c>
      <c r="B88" s="123">
        <v>1</v>
      </c>
      <c r="C88" s="126">
        <v>81</v>
      </c>
      <c r="D88" s="124" t="s">
        <v>265</v>
      </c>
      <c r="E88" s="192">
        <v>218</v>
      </c>
      <c r="F88" s="125">
        <f>ROUND(E88*Valores!$C$2,2)</f>
        <v>18046.04</v>
      </c>
      <c r="G88" s="192">
        <f>1997</f>
        <v>1997</v>
      </c>
      <c r="H88" s="125">
        <f>ROUND(G88*Valores!$C$2,2)</f>
        <v>165311.66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63031.88</v>
      </c>
      <c r="N88" s="125">
        <f t="shared" si="12"/>
        <v>0</v>
      </c>
      <c r="O88" s="125">
        <f>Valores!$C$15</f>
        <v>119603.61</v>
      </c>
      <c r="P88" s="125">
        <f>Valores!$D$5</f>
        <v>42317.14</v>
      </c>
      <c r="Q88" s="125">
        <f>Valores!$C$22</f>
        <v>37751.3</v>
      </c>
      <c r="R88" s="125">
        <f>IF($F$4="NO",Valores!$C$45,Valores!$C$45/2)</f>
        <v>29395.49</v>
      </c>
      <c r="S88" s="125">
        <f>Valores!$C$19</f>
        <v>39374.32</v>
      </c>
      <c r="T88" s="125">
        <f t="shared" si="19"/>
        <v>39374.32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Valores!$C$96</f>
        <v>57944.18</v>
      </c>
      <c r="AA88" s="125">
        <f>Valores!$C$25</f>
        <v>1730.69</v>
      </c>
      <c r="AB88" s="214">
        <v>0</v>
      </c>
      <c r="AC88" s="125">
        <f t="shared" si="13"/>
        <v>0</v>
      </c>
      <c r="AD88" s="125">
        <f>Valores!$C$26</f>
        <v>1730.69</v>
      </c>
      <c r="AE88" s="192">
        <v>0</v>
      </c>
      <c r="AF88" s="125">
        <f>ROUND(AE88*Valores!$C$2,2)</f>
        <v>0</v>
      </c>
      <c r="AG88" s="125">
        <f>ROUND(IF($F$4="NO",Valores!$C$64,Valores!$C$64/2),2)</f>
        <v>19786.28</v>
      </c>
      <c r="AH88" s="125">
        <f>SUM(F88,H88,J88,L88,M88,N88,O88,P88,Q88,R88,T88,U88,V88,X88,Y88,Z88,AA88,AC88,AD88,AF88,AG88)*Valores!$C$104</f>
        <v>59602.327999999994</v>
      </c>
      <c r="AI88" s="125">
        <f t="shared" si="16"/>
        <v>655625.6079999999</v>
      </c>
      <c r="AJ88" s="125">
        <f>Valores!$C$31</f>
        <v>35000</v>
      </c>
      <c r="AK88" s="125">
        <v>0</v>
      </c>
      <c r="AL88" s="125">
        <f>Valores!$C$89</f>
        <v>0</v>
      </c>
      <c r="AM88" s="125">
        <f>Valores!C$39*B88</f>
        <v>0</v>
      </c>
      <c r="AN88" s="125">
        <f>IF($F$3="NO",0,Valores!$C$57)</f>
        <v>0</v>
      </c>
      <c r="AO88" s="125">
        <f t="shared" si="14"/>
        <v>35000</v>
      </c>
      <c r="AP88" s="125">
        <f>AI88*Valores!$C$72</f>
        <v>-72118.81687999998</v>
      </c>
      <c r="AQ88" s="125">
        <f>IF(AI88&lt;Valores!$E$73,-0.02,IF(AI88&lt;Valores!$F$73,-0.03,-0.04))*AI88</f>
        <v>-13112.512159999998</v>
      </c>
      <c r="AR88" s="125">
        <f>AI88*Valores!$C$75</f>
        <v>-36059.40843999999</v>
      </c>
      <c r="AS88" s="125">
        <f>Valores!$C$102</f>
        <v>-1270.16</v>
      </c>
      <c r="AT88" s="125">
        <f>IF($F$5=0,Valores!$C$103,(Valores!$C$103+$F$5*(Valores!$C$103)))</f>
        <v>-11714</v>
      </c>
      <c r="AU88" s="125">
        <f t="shared" si="17"/>
        <v>556350.71052</v>
      </c>
      <c r="AV88" s="125">
        <f t="shared" si="11"/>
        <v>-72118.81687999998</v>
      </c>
      <c r="AW88" s="125">
        <f t="shared" si="18"/>
        <v>-13112.512159999998</v>
      </c>
      <c r="AX88" s="125">
        <f>AI88*Valores!$C$76</f>
        <v>-17701.891416</v>
      </c>
      <c r="AY88" s="125">
        <f>AI88*Valores!$C$77</f>
        <v>-1966.8768239999997</v>
      </c>
      <c r="AZ88" s="125">
        <f t="shared" si="15"/>
        <v>585725.5107199999</v>
      </c>
      <c r="BA88" s="125">
        <f>AI88*Valores!$C$79</f>
        <v>104900.09727999999</v>
      </c>
      <c r="BB88" s="125">
        <f>AI88*Valores!$C$80</f>
        <v>45893.792559999994</v>
      </c>
      <c r="BC88" s="125">
        <f>AI88*Valores!$C$81</f>
        <v>6556.256079999999</v>
      </c>
      <c r="BD88" s="125">
        <f>AI88*Valores!$C$83</f>
        <v>22946.896279999997</v>
      </c>
      <c r="BE88" s="125">
        <f>AI88*Valores!$C$85</f>
        <v>35403.782832</v>
      </c>
      <c r="BF88" s="125">
        <f>AI88*Valores!$C$84</f>
        <v>3933.7536479999994</v>
      </c>
      <c r="BG88" s="126"/>
      <c r="BH88" s="126">
        <v>25</v>
      </c>
      <c r="BI88" s="123" t="s">
        <v>4</v>
      </c>
    </row>
    <row r="89" spans="1:61" s="110" customFormat="1" ht="11.25" customHeight="1">
      <c r="A89" s="123" t="s">
        <v>264</v>
      </c>
      <c r="B89" s="123">
        <v>1</v>
      </c>
      <c r="C89" s="126">
        <v>82</v>
      </c>
      <c r="D89" s="124" t="s">
        <v>266</v>
      </c>
      <c r="E89" s="192">
        <v>218</v>
      </c>
      <c r="F89" s="125">
        <f>ROUND(E89*Valores!$C$2,2)</f>
        <v>18046.04</v>
      </c>
      <c r="G89" s="192">
        <f>1997</f>
        <v>1997</v>
      </c>
      <c r="H89" s="125">
        <f>ROUND(G89*Valores!$C$2,2)</f>
        <v>165311.66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63031.88</v>
      </c>
      <c r="N89" s="125">
        <f t="shared" si="12"/>
        <v>0</v>
      </c>
      <c r="O89" s="125">
        <f>Valores!$C$15</f>
        <v>119603.61</v>
      </c>
      <c r="P89" s="125">
        <f>Valores!$D$5</f>
        <v>42317.14</v>
      </c>
      <c r="Q89" s="125">
        <f>Valores!$C$22</f>
        <v>37751.3</v>
      </c>
      <c r="R89" s="125">
        <f>IF($F$4="NO",Valores!$C$45,Valores!$C$45/2)</f>
        <v>29395.49</v>
      </c>
      <c r="S89" s="125">
        <f>Valores!$C$19</f>
        <v>39374.32</v>
      </c>
      <c r="T89" s="125">
        <f t="shared" si="19"/>
        <v>39374.32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Valores!$C$96</f>
        <v>57944.18</v>
      </c>
      <c r="AA89" s="125">
        <f>Valores!$C$25</f>
        <v>1730.69</v>
      </c>
      <c r="AB89" s="214">
        <v>0</v>
      </c>
      <c r="AC89" s="125">
        <f t="shared" si="13"/>
        <v>0</v>
      </c>
      <c r="AD89" s="125">
        <f>Valores!$C$26</f>
        <v>1730.69</v>
      </c>
      <c r="AE89" s="192">
        <v>19</v>
      </c>
      <c r="AF89" s="125">
        <f>ROUND(AE89*Valores!$C$2,2)</f>
        <v>1572.82</v>
      </c>
      <c r="AG89" s="125">
        <f>ROUND(IF($F$4="NO",Valores!$C$64,Valores!$C$64/2),2)</f>
        <v>19786.28</v>
      </c>
      <c r="AH89" s="125">
        <f>SUM(F89,H89,J89,L89,M89,N89,O89,P89,Q89,R89,T89,U89,V89,X89,Y89,Z89,AA89,AC89,AD89,AF89,AG89)*Valores!$C$104</f>
        <v>59759.609999999986</v>
      </c>
      <c r="AI89" s="125">
        <f t="shared" si="16"/>
        <v>657355.7099999998</v>
      </c>
      <c r="AJ89" s="125">
        <f>Valores!$C$31</f>
        <v>35000</v>
      </c>
      <c r="AK89" s="125">
        <v>0</v>
      </c>
      <c r="AL89" s="125">
        <f>Valores!$C$89</f>
        <v>0</v>
      </c>
      <c r="AM89" s="125">
        <f>Valores!C$39*B89</f>
        <v>0</v>
      </c>
      <c r="AN89" s="125">
        <f>IF($F$3="NO",0,Valores!$C$57)</f>
        <v>0</v>
      </c>
      <c r="AO89" s="125">
        <f t="shared" si="14"/>
        <v>35000</v>
      </c>
      <c r="AP89" s="125">
        <f>AI89*Valores!$C$72</f>
        <v>-72309.12809999999</v>
      </c>
      <c r="AQ89" s="125">
        <f>IF(AI89&lt;Valores!$E$73,-0.02,IF(AI89&lt;Valores!$F$73,-0.03,-0.04))*AI89</f>
        <v>-13147.114199999996</v>
      </c>
      <c r="AR89" s="125">
        <f>AI89*Valores!$C$75</f>
        <v>-36154.56404999999</v>
      </c>
      <c r="AS89" s="125">
        <f>Valores!$C$102</f>
        <v>-1270.16</v>
      </c>
      <c r="AT89" s="125">
        <f>IF($F$5=0,Valores!$C$103,(Valores!$C$103+$F$5*(Valores!$C$103)))</f>
        <v>-11714</v>
      </c>
      <c r="AU89" s="125">
        <f t="shared" si="17"/>
        <v>557760.7436499998</v>
      </c>
      <c r="AV89" s="125">
        <f t="shared" si="11"/>
        <v>-72309.12809999999</v>
      </c>
      <c r="AW89" s="125">
        <f t="shared" si="18"/>
        <v>-13147.114199999996</v>
      </c>
      <c r="AX89" s="125">
        <f>AI89*Valores!$C$76</f>
        <v>-17748.604169999995</v>
      </c>
      <c r="AY89" s="125">
        <f>AI89*Valores!$C$77</f>
        <v>-1972.0671299999997</v>
      </c>
      <c r="AZ89" s="125">
        <f t="shared" si="15"/>
        <v>587178.7963999999</v>
      </c>
      <c r="BA89" s="125">
        <f>AI89*Valores!$C$79</f>
        <v>105176.91359999997</v>
      </c>
      <c r="BB89" s="125">
        <f>AI89*Valores!$C$80</f>
        <v>46014.899699999994</v>
      </c>
      <c r="BC89" s="125">
        <f>AI89*Valores!$C$81</f>
        <v>6573.557099999998</v>
      </c>
      <c r="BD89" s="125">
        <f>AI89*Valores!$C$83</f>
        <v>23007.449849999997</v>
      </c>
      <c r="BE89" s="125">
        <f>AI89*Valores!$C$85</f>
        <v>35497.20833999999</v>
      </c>
      <c r="BF89" s="125">
        <f>AI89*Valores!$C$84</f>
        <v>3944.1342599999994</v>
      </c>
      <c r="BG89" s="126"/>
      <c r="BH89" s="126">
        <v>25</v>
      </c>
      <c r="BI89" s="123" t="s">
        <v>4</v>
      </c>
    </row>
    <row r="90" spans="1:61" s="110" customFormat="1" ht="11.25" customHeight="1">
      <c r="A90" s="123" t="s">
        <v>267</v>
      </c>
      <c r="B90" s="123">
        <v>1</v>
      </c>
      <c r="C90" s="126">
        <v>83</v>
      </c>
      <c r="D90" s="124" t="s">
        <v>268</v>
      </c>
      <c r="E90" s="192">
        <v>187</v>
      </c>
      <c r="F90" s="125">
        <f>ROUND(E90*Valores!$C$2,2)</f>
        <v>15479.86</v>
      </c>
      <c r="G90" s="192">
        <v>1704</v>
      </c>
      <c r="H90" s="125">
        <f>ROUND(G90*Valores!$C$2,2)</f>
        <v>141057.12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56326.7</v>
      </c>
      <c r="N90" s="125">
        <f t="shared" si="12"/>
        <v>0</v>
      </c>
      <c r="O90" s="125">
        <f>Valores!$C$9</f>
        <v>104016.7</v>
      </c>
      <c r="P90" s="125">
        <f>Valores!$D$5</f>
        <v>42317.14</v>
      </c>
      <c r="Q90" s="125">
        <f>Valores!$C$22</f>
        <v>37751.3</v>
      </c>
      <c r="R90" s="125">
        <f>IF($F$4="NO",Valores!$C$45,Valores!$C$45/2)</f>
        <v>29395.49</v>
      </c>
      <c r="S90" s="125">
        <f>Valores!$C$19</f>
        <v>39374.32</v>
      </c>
      <c r="T90" s="125">
        <f t="shared" si="19"/>
        <v>39374.32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Valores!$C$96</f>
        <v>57944.18</v>
      </c>
      <c r="AA90" s="125">
        <f>Valores!$C$25</f>
        <v>1730.69</v>
      </c>
      <c r="AB90" s="214">
        <v>0</v>
      </c>
      <c r="AC90" s="125">
        <f t="shared" si="13"/>
        <v>0</v>
      </c>
      <c r="AD90" s="125">
        <f>Valores!$C$26</f>
        <v>1730.69</v>
      </c>
      <c r="AE90" s="192">
        <v>0</v>
      </c>
      <c r="AF90" s="125">
        <f>ROUND(AE90*Valores!$C$2,2)</f>
        <v>0</v>
      </c>
      <c r="AG90" s="125">
        <f>ROUND(IF($F$4="NO",Valores!$C$64,Valores!$C$64/2),2)</f>
        <v>19786.28</v>
      </c>
      <c r="AH90" s="125">
        <f>SUM(F90,H90,J90,L90,M90,N90,O90,P90,Q90,R90,T90,U90,V90,X90,Y90,Z90,AA90,AC90,AD90,AF90,AG90)*Valores!$C$104</f>
        <v>54691.047</v>
      </c>
      <c r="AI90" s="125">
        <f t="shared" si="16"/>
        <v>601601.517</v>
      </c>
      <c r="AJ90" s="125">
        <f>Valores!$C$31</f>
        <v>35000</v>
      </c>
      <c r="AK90" s="125">
        <v>0</v>
      </c>
      <c r="AL90" s="125">
        <f>Valores!$C$89</f>
        <v>0</v>
      </c>
      <c r="AM90" s="125">
        <f>Valores!C$39*B90</f>
        <v>0</v>
      </c>
      <c r="AN90" s="125">
        <f>IF($F$3="NO",0,Valores!$C$57)</f>
        <v>0</v>
      </c>
      <c r="AO90" s="125">
        <f t="shared" si="14"/>
        <v>35000</v>
      </c>
      <c r="AP90" s="125">
        <f>AI90*Valores!$C$72</f>
        <v>-66176.16687</v>
      </c>
      <c r="AQ90" s="125">
        <f>IF(AI90&lt;Valores!$E$73,-0.02,IF(AI90&lt;Valores!$F$73,-0.03,-0.04))*AI90</f>
        <v>-12032.03034</v>
      </c>
      <c r="AR90" s="125">
        <f>AI90*Valores!$C$75</f>
        <v>-33088.083435</v>
      </c>
      <c r="AS90" s="125">
        <f>Valores!$C$102</f>
        <v>-1270.16</v>
      </c>
      <c r="AT90" s="125">
        <f>IF($F$5=0,Valores!$C$103,(Valores!$C$103+$F$5*(Valores!$C$103)))</f>
        <v>-11714</v>
      </c>
      <c r="AU90" s="125">
        <f t="shared" si="17"/>
        <v>512321.076355</v>
      </c>
      <c r="AV90" s="125">
        <f t="shared" si="11"/>
        <v>-66176.16687</v>
      </c>
      <c r="AW90" s="125">
        <f t="shared" si="18"/>
        <v>-12032.03034</v>
      </c>
      <c r="AX90" s="125">
        <f>AI90*Valores!$C$76</f>
        <v>-16243.240958999999</v>
      </c>
      <c r="AY90" s="125">
        <f>AI90*Valores!$C$77</f>
        <v>-1804.804551</v>
      </c>
      <c r="AZ90" s="125">
        <f t="shared" si="15"/>
        <v>540345.27428</v>
      </c>
      <c r="BA90" s="125">
        <f>AI90*Valores!$C$79</f>
        <v>96256.24272</v>
      </c>
      <c r="BB90" s="125">
        <f>AI90*Valores!$C$80</f>
        <v>42112.106190000006</v>
      </c>
      <c r="BC90" s="125">
        <f>AI90*Valores!$C$81</f>
        <v>6016.01517</v>
      </c>
      <c r="BD90" s="125">
        <f>AI90*Valores!$C$83</f>
        <v>21056.053095000003</v>
      </c>
      <c r="BE90" s="125">
        <f>AI90*Valores!$C$85</f>
        <v>32486.481917999998</v>
      </c>
      <c r="BF90" s="125">
        <f>AI90*Valores!$C$84</f>
        <v>3609.609102</v>
      </c>
      <c r="BG90" s="126"/>
      <c r="BH90" s="126">
        <v>25</v>
      </c>
      <c r="BI90" s="123" t="s">
        <v>4</v>
      </c>
    </row>
    <row r="91" spans="1:61" s="110" customFormat="1" ht="11.25" customHeight="1">
      <c r="A91" s="123" t="s">
        <v>267</v>
      </c>
      <c r="B91" s="123">
        <v>1</v>
      </c>
      <c r="C91" s="126">
        <v>84</v>
      </c>
      <c r="D91" s="124" t="s">
        <v>269</v>
      </c>
      <c r="E91" s="192">
        <v>187</v>
      </c>
      <c r="F91" s="125">
        <f>ROUND(E91*Valores!$C$2,2)</f>
        <v>15479.86</v>
      </c>
      <c r="G91" s="192">
        <v>1704</v>
      </c>
      <c r="H91" s="125">
        <f>ROUND(G91*Valores!$C$2,2)</f>
        <v>141057.12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56326.7</v>
      </c>
      <c r="N91" s="125">
        <f t="shared" si="12"/>
        <v>0</v>
      </c>
      <c r="O91" s="125">
        <f>Valores!$C$9</f>
        <v>104016.7</v>
      </c>
      <c r="P91" s="125">
        <f>Valores!$D$5</f>
        <v>42317.14</v>
      </c>
      <c r="Q91" s="125">
        <f>Valores!$C$22</f>
        <v>37751.3</v>
      </c>
      <c r="R91" s="125">
        <f>IF($F$4="NO",Valores!$C$45,Valores!$C$45/2)</f>
        <v>29395.49</v>
      </c>
      <c r="S91" s="125">
        <f>Valores!$C$19</f>
        <v>39374.32</v>
      </c>
      <c r="T91" s="125">
        <f t="shared" si="19"/>
        <v>39374.32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Valores!$C$96</f>
        <v>57944.18</v>
      </c>
      <c r="AA91" s="125">
        <f>Valores!$C$25</f>
        <v>1730.69</v>
      </c>
      <c r="AB91" s="214">
        <v>0</v>
      </c>
      <c r="AC91" s="125">
        <f t="shared" si="13"/>
        <v>0</v>
      </c>
      <c r="AD91" s="125">
        <f>Valores!$C$26</f>
        <v>1730.69</v>
      </c>
      <c r="AE91" s="192">
        <v>19</v>
      </c>
      <c r="AF91" s="125">
        <f>ROUND(AE91*Valores!$C$2,2)</f>
        <v>1572.82</v>
      </c>
      <c r="AG91" s="125">
        <f>ROUND(IF($F$4="NO",Valores!$C$64,Valores!$C$64/2),2)</f>
        <v>19786.28</v>
      </c>
      <c r="AH91" s="125">
        <f>SUM(F91,H91,J91,L91,M91,N91,O91,P91,Q91,R91,T91,U91,V91,X91,Y91,Z91,AA91,AC91,AD91,AF91,AG91)*Valores!$C$104</f>
        <v>54848.329</v>
      </c>
      <c r="AI91" s="125">
        <f t="shared" si="16"/>
        <v>603331.619</v>
      </c>
      <c r="AJ91" s="125">
        <f>Valores!$C$31</f>
        <v>35000</v>
      </c>
      <c r="AK91" s="125">
        <v>0</v>
      </c>
      <c r="AL91" s="125">
        <f>Valores!$C$89</f>
        <v>0</v>
      </c>
      <c r="AM91" s="125">
        <f>Valores!C$39*B91</f>
        <v>0</v>
      </c>
      <c r="AN91" s="125">
        <f>IF($F$3="NO",0,Valores!$C$57)</f>
        <v>0</v>
      </c>
      <c r="AO91" s="125">
        <f t="shared" si="14"/>
        <v>35000</v>
      </c>
      <c r="AP91" s="125">
        <f>AI91*Valores!$C$72</f>
        <v>-66366.47808999999</v>
      </c>
      <c r="AQ91" s="125">
        <f>IF(AI91&lt;Valores!$E$73,-0.02,IF(AI91&lt;Valores!$F$73,-0.03,-0.04))*AI91</f>
        <v>-12066.63238</v>
      </c>
      <c r="AR91" s="125">
        <f>AI91*Valores!$C$75</f>
        <v>-33183.239044999995</v>
      </c>
      <c r="AS91" s="125">
        <f>Valores!$C$102</f>
        <v>-1270.16</v>
      </c>
      <c r="AT91" s="125">
        <f>IF($F$5=0,Valores!$C$103,(Valores!$C$103+$F$5*(Valores!$C$103)))</f>
        <v>-11714</v>
      </c>
      <c r="AU91" s="125">
        <f t="shared" si="17"/>
        <v>513731.10948499996</v>
      </c>
      <c r="AV91" s="125">
        <f t="shared" si="11"/>
        <v>-66366.47808999999</v>
      </c>
      <c r="AW91" s="125">
        <f t="shared" si="18"/>
        <v>-12066.63238</v>
      </c>
      <c r="AX91" s="125">
        <f>AI91*Valores!$C$76</f>
        <v>-16289.953712999999</v>
      </c>
      <c r="AY91" s="125">
        <f>AI91*Valores!$C$77</f>
        <v>-1809.994857</v>
      </c>
      <c r="AZ91" s="125">
        <f t="shared" si="15"/>
        <v>541798.55996</v>
      </c>
      <c r="BA91" s="125">
        <f>AI91*Valores!$C$79</f>
        <v>96533.05904</v>
      </c>
      <c r="BB91" s="125">
        <f>AI91*Valores!$C$80</f>
        <v>42233.21333</v>
      </c>
      <c r="BC91" s="125">
        <f>AI91*Valores!$C$81</f>
        <v>6033.31619</v>
      </c>
      <c r="BD91" s="125">
        <f>AI91*Valores!$C$83</f>
        <v>21116.606665</v>
      </c>
      <c r="BE91" s="125">
        <f>AI91*Valores!$C$85</f>
        <v>32579.907425999998</v>
      </c>
      <c r="BF91" s="125">
        <f>AI91*Valores!$C$84</f>
        <v>3619.989714</v>
      </c>
      <c r="BG91" s="126"/>
      <c r="BH91" s="126">
        <v>25</v>
      </c>
      <c r="BI91" s="123" t="s">
        <v>4</v>
      </c>
    </row>
    <row r="92" spans="1:61" s="110" customFormat="1" ht="11.25" customHeight="1">
      <c r="A92" s="123" t="s">
        <v>270</v>
      </c>
      <c r="B92" s="123">
        <v>1</v>
      </c>
      <c r="C92" s="126">
        <v>85</v>
      </c>
      <c r="D92" s="124" t="s">
        <v>271</v>
      </c>
      <c r="E92" s="192">
        <v>161</v>
      </c>
      <c r="F92" s="125">
        <f>ROUND(E92*Valores!$C$2,2)</f>
        <v>13327.58</v>
      </c>
      <c r="G92" s="192">
        <f>1480</f>
        <v>1480</v>
      </c>
      <c r="H92" s="125">
        <f>ROUND(G92*Valores!$C$2,2)</f>
        <v>122514.4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51152.95</v>
      </c>
      <c r="N92" s="125">
        <f t="shared" si="12"/>
        <v>0</v>
      </c>
      <c r="O92" s="125">
        <f>Valores!$C$9</f>
        <v>104016.7</v>
      </c>
      <c r="P92" s="125">
        <f>Valores!$D$5</f>
        <v>42317.14</v>
      </c>
      <c r="Q92" s="125">
        <f>Valores!$C$22</f>
        <v>37751.3</v>
      </c>
      <c r="R92" s="125">
        <f>IF($F$4="NO",Valores!$C$45,Valores!$C$45/2)</f>
        <v>29395.49</v>
      </c>
      <c r="S92" s="125">
        <f>Valores!$C$19</f>
        <v>39374.32</v>
      </c>
      <c r="T92" s="125">
        <f t="shared" si="19"/>
        <v>39374.32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Valores!$C$96</f>
        <v>57944.18</v>
      </c>
      <c r="AA92" s="125">
        <f>Valores!$C$25</f>
        <v>1730.69</v>
      </c>
      <c r="AB92" s="214">
        <v>0</v>
      </c>
      <c r="AC92" s="125">
        <f t="shared" si="13"/>
        <v>0</v>
      </c>
      <c r="AD92" s="125">
        <f>Valores!$C$26</f>
        <v>1730.69</v>
      </c>
      <c r="AE92" s="192">
        <v>0</v>
      </c>
      <c r="AF92" s="125">
        <f>ROUND(AE92*Valores!$C$2,2)</f>
        <v>0</v>
      </c>
      <c r="AG92" s="125">
        <f>ROUND(IF($F$4="NO",Valores!$C$64,Valores!$C$64/2),2)</f>
        <v>19786.28</v>
      </c>
      <c r="AH92" s="125">
        <f>SUM(F92,H92,J92,L92,M92,N92,O92,P92,Q92,R92,T92,U92,V92,X92,Y92,Z92,AA92,AC92,AD92,AF92,AG92)*Valores!$C$104</f>
        <v>52104.172</v>
      </c>
      <c r="AI92" s="125">
        <f t="shared" si="16"/>
        <v>573145.892</v>
      </c>
      <c r="AJ92" s="125">
        <f>Valores!$C$31</f>
        <v>35000</v>
      </c>
      <c r="AK92" s="125">
        <v>0</v>
      </c>
      <c r="AL92" s="125">
        <f>Valores!$C$89</f>
        <v>0</v>
      </c>
      <c r="AM92" s="125">
        <f>Valores!C$39*B92</f>
        <v>0</v>
      </c>
      <c r="AN92" s="125">
        <f>IF($F$3="NO",0,Valores!$C$57)</f>
        <v>0</v>
      </c>
      <c r="AO92" s="125">
        <f t="shared" si="14"/>
        <v>35000</v>
      </c>
      <c r="AP92" s="125">
        <f>AI92*Valores!$C$72</f>
        <v>-63046.04812</v>
      </c>
      <c r="AQ92" s="125">
        <f>IF(AI92&lt;Valores!$E$73,-0.02,IF(AI92&lt;Valores!$F$73,-0.03,-0.04))*AI92</f>
        <v>-11462.91784</v>
      </c>
      <c r="AR92" s="125">
        <f>AI92*Valores!$C$75</f>
        <v>-31523.02406</v>
      </c>
      <c r="AS92" s="125">
        <f>Valores!$C$102</f>
        <v>-1270.16</v>
      </c>
      <c r="AT92" s="125">
        <f>IF($F$5=0,Valores!$C$103,(Valores!$C$103+$F$5*(Valores!$C$103)))</f>
        <v>-11714</v>
      </c>
      <c r="AU92" s="125">
        <f t="shared" si="17"/>
        <v>489129.74198</v>
      </c>
      <c r="AV92" s="125">
        <f t="shared" si="11"/>
        <v>-63046.04812</v>
      </c>
      <c r="AW92" s="125">
        <f t="shared" si="18"/>
        <v>-11462.91784</v>
      </c>
      <c r="AX92" s="125">
        <f>AI92*Valores!$C$76</f>
        <v>-15474.939084</v>
      </c>
      <c r="AY92" s="125">
        <f>AI92*Valores!$C$77</f>
        <v>-1719.437676</v>
      </c>
      <c r="AZ92" s="125">
        <f t="shared" si="15"/>
        <v>516442.54928</v>
      </c>
      <c r="BA92" s="125">
        <f>AI92*Valores!$C$79</f>
        <v>91703.34272</v>
      </c>
      <c r="BB92" s="125">
        <f>AI92*Valores!$C$80</f>
        <v>40120.21244</v>
      </c>
      <c r="BC92" s="125">
        <f>AI92*Valores!$C$81</f>
        <v>5731.45892</v>
      </c>
      <c r="BD92" s="125">
        <f>AI92*Valores!$C$83</f>
        <v>20060.10622</v>
      </c>
      <c r="BE92" s="125">
        <f>AI92*Valores!$C$85</f>
        <v>30949.878168</v>
      </c>
      <c r="BF92" s="125">
        <f>AI92*Valores!$C$84</f>
        <v>3438.875352</v>
      </c>
      <c r="BG92" s="126"/>
      <c r="BH92" s="126">
        <v>25</v>
      </c>
      <c r="BI92" s="123" t="s">
        <v>4</v>
      </c>
    </row>
    <row r="93" spans="1:61" s="110" customFormat="1" ht="11.25" customHeight="1">
      <c r="A93" s="123" t="s">
        <v>270</v>
      </c>
      <c r="B93" s="123">
        <v>1</v>
      </c>
      <c r="C93" s="126">
        <v>86</v>
      </c>
      <c r="D93" s="124" t="s">
        <v>272</v>
      </c>
      <c r="E93" s="192">
        <v>161</v>
      </c>
      <c r="F93" s="125">
        <f>ROUND(E93*Valores!$C$2,2)</f>
        <v>13327.58</v>
      </c>
      <c r="G93" s="192">
        <f>1480</f>
        <v>1480</v>
      </c>
      <c r="H93" s="125">
        <f>ROUND(G93*Valores!$C$2,2)</f>
        <v>122514.4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51152.95</v>
      </c>
      <c r="N93" s="125">
        <f t="shared" si="12"/>
        <v>0</v>
      </c>
      <c r="O93" s="125">
        <f>Valores!$C$9</f>
        <v>104016.7</v>
      </c>
      <c r="P93" s="125">
        <f>Valores!$D$5</f>
        <v>42317.14</v>
      </c>
      <c r="Q93" s="125">
        <f>Valores!$C$22</f>
        <v>37751.3</v>
      </c>
      <c r="R93" s="125">
        <f>IF($F$4="NO",Valores!$C$45,Valores!$C$45/2)</f>
        <v>29395.49</v>
      </c>
      <c r="S93" s="125">
        <f>Valores!$C$19</f>
        <v>39374.32</v>
      </c>
      <c r="T93" s="125">
        <f t="shared" si="19"/>
        <v>39374.32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Valores!$C$96</f>
        <v>57944.18</v>
      </c>
      <c r="AA93" s="125">
        <f>Valores!$C$25</f>
        <v>1730.69</v>
      </c>
      <c r="AB93" s="214">
        <v>0</v>
      </c>
      <c r="AC93" s="125">
        <f t="shared" si="13"/>
        <v>0</v>
      </c>
      <c r="AD93" s="125">
        <f>Valores!$C$26</f>
        <v>1730.69</v>
      </c>
      <c r="AE93" s="192">
        <v>19</v>
      </c>
      <c r="AF93" s="125">
        <f>ROUND(AE93*Valores!$C$2,2)</f>
        <v>1572.82</v>
      </c>
      <c r="AG93" s="125">
        <f>ROUND(IF($F$4="NO",Valores!$C$64,Valores!$C$64/2),2)</f>
        <v>19786.28</v>
      </c>
      <c r="AH93" s="125">
        <f>SUM(F93,H93,J93,L93,M93,N93,O93,P93,Q93,R93,T93,U93,V93,X93,Y93,Z93,AA93,AC93,AD93,AF93,AG93)*Valores!$C$104</f>
        <v>52261.454000000005</v>
      </c>
      <c r="AI93" s="125">
        <f t="shared" si="16"/>
        <v>574875.9940000001</v>
      </c>
      <c r="AJ93" s="125">
        <f>Valores!$C$31</f>
        <v>35000</v>
      </c>
      <c r="AK93" s="125">
        <v>0</v>
      </c>
      <c r="AL93" s="125">
        <f>Valores!$C$89</f>
        <v>0</v>
      </c>
      <c r="AM93" s="125">
        <f>Valores!C$39*B93</f>
        <v>0</v>
      </c>
      <c r="AN93" s="125">
        <f>IF($F$3="NO",0,Valores!$C$57)</f>
        <v>0</v>
      </c>
      <c r="AO93" s="125">
        <f t="shared" si="14"/>
        <v>35000</v>
      </c>
      <c r="AP93" s="125">
        <f>AI93*Valores!$C$72</f>
        <v>-63236.35934000001</v>
      </c>
      <c r="AQ93" s="125">
        <f>IF(AI93&lt;Valores!$E$73,-0.02,IF(AI93&lt;Valores!$F$73,-0.03,-0.04))*AI93</f>
        <v>-11497.519880000002</v>
      </c>
      <c r="AR93" s="125">
        <f>AI93*Valores!$C$75</f>
        <v>-31618.179670000005</v>
      </c>
      <c r="AS93" s="125">
        <f>Valores!$C$102</f>
        <v>-1270.16</v>
      </c>
      <c r="AT93" s="125">
        <f>IF($F$5=0,Valores!$C$103,(Valores!$C$103+$F$5*(Valores!$C$103)))</f>
        <v>-11714</v>
      </c>
      <c r="AU93" s="125">
        <f t="shared" si="17"/>
        <v>490539.77511000005</v>
      </c>
      <c r="AV93" s="125">
        <f t="shared" si="11"/>
        <v>-63236.35934000001</v>
      </c>
      <c r="AW93" s="125">
        <f t="shared" si="18"/>
        <v>-11497.519880000002</v>
      </c>
      <c r="AX93" s="125">
        <f>AI93*Valores!$C$76</f>
        <v>-15521.651838000002</v>
      </c>
      <c r="AY93" s="125">
        <f>AI93*Valores!$C$77</f>
        <v>-1724.6279820000002</v>
      </c>
      <c r="AZ93" s="125">
        <f t="shared" si="15"/>
        <v>517895.83496</v>
      </c>
      <c r="BA93" s="125">
        <f>AI93*Valores!$C$79</f>
        <v>91980.15904000001</v>
      </c>
      <c r="BB93" s="125">
        <f>AI93*Valores!$C$80</f>
        <v>40241.31958000001</v>
      </c>
      <c r="BC93" s="125">
        <f>AI93*Valores!$C$81</f>
        <v>5748.759940000001</v>
      </c>
      <c r="BD93" s="125">
        <f>AI93*Valores!$C$83</f>
        <v>20120.659790000005</v>
      </c>
      <c r="BE93" s="125">
        <f>AI93*Valores!$C$85</f>
        <v>31043.303676000003</v>
      </c>
      <c r="BF93" s="125">
        <f>AI93*Valores!$C$84</f>
        <v>3449.2559640000004</v>
      </c>
      <c r="BG93" s="126"/>
      <c r="BH93" s="126">
        <v>25</v>
      </c>
      <c r="BI93" s="123" t="s">
        <v>4</v>
      </c>
    </row>
    <row r="94" spans="1:61" s="110" customFormat="1" ht="11.25" customHeight="1">
      <c r="A94" s="123" t="s">
        <v>273</v>
      </c>
      <c r="B94" s="123">
        <v>1</v>
      </c>
      <c r="C94" s="126">
        <v>87</v>
      </c>
      <c r="D94" s="124" t="s">
        <v>274</v>
      </c>
      <c r="E94" s="192">
        <v>179</v>
      </c>
      <c r="F94" s="125">
        <f>ROUND(E94*Valores!$C$2,2)</f>
        <v>14817.62</v>
      </c>
      <c r="G94" s="192">
        <v>1712</v>
      </c>
      <c r="H94" s="125">
        <f>ROUND(G94*Valores!$C$2,2)</f>
        <v>141719.36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56326.7</v>
      </c>
      <c r="N94" s="125">
        <f t="shared" si="12"/>
        <v>0</v>
      </c>
      <c r="O94" s="125">
        <f>Valores!$C$9</f>
        <v>104016.7</v>
      </c>
      <c r="P94" s="125">
        <f>Valores!$D$5</f>
        <v>42317.14</v>
      </c>
      <c r="Q94" s="125">
        <f>Valores!$C$22</f>
        <v>37751.3</v>
      </c>
      <c r="R94" s="125">
        <f>IF($F$4="NO",Valores!$C$45,Valores!$C$45/2)</f>
        <v>29395.49</v>
      </c>
      <c r="S94" s="125">
        <f>Valores!$C$19</f>
        <v>39374.32</v>
      </c>
      <c r="T94" s="125">
        <f t="shared" si="19"/>
        <v>39374.32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Valores!$C$96</f>
        <v>57944.18</v>
      </c>
      <c r="AA94" s="125">
        <f>Valores!$C$25</f>
        <v>1730.69</v>
      </c>
      <c r="AB94" s="214">
        <v>0</v>
      </c>
      <c r="AC94" s="125">
        <f t="shared" si="13"/>
        <v>0</v>
      </c>
      <c r="AD94" s="125">
        <f>Valores!$C$26</f>
        <v>1730.69</v>
      </c>
      <c r="AE94" s="192">
        <v>0</v>
      </c>
      <c r="AF94" s="125">
        <f>ROUND(AE94*Valores!$C$2,2)</f>
        <v>0</v>
      </c>
      <c r="AG94" s="125">
        <f>ROUND(IF($F$4="NO",Valores!$C$64,Valores!$C$64/2),2)</f>
        <v>19786.28</v>
      </c>
      <c r="AH94" s="125">
        <f>SUM(F94,H94,J94,L94,M94,N94,O94,P94,Q94,R94,T94,U94,V94,X94,Y94,Z94,AA94,AC94,AD94,AF94,AG94)*Valores!$C$104</f>
        <v>54691.047</v>
      </c>
      <c r="AI94" s="125">
        <f t="shared" si="16"/>
        <v>601601.517</v>
      </c>
      <c r="AJ94" s="125">
        <f>Valores!$C$31</f>
        <v>35000</v>
      </c>
      <c r="AK94" s="125">
        <v>0</v>
      </c>
      <c r="AL94" s="125">
        <f>Valores!$C$89</f>
        <v>0</v>
      </c>
      <c r="AM94" s="125">
        <f>Valores!C$39*B94</f>
        <v>0</v>
      </c>
      <c r="AN94" s="125">
        <f>IF($F$3="NO",0,Valores!$C$57)</f>
        <v>0</v>
      </c>
      <c r="AO94" s="125">
        <f t="shared" si="14"/>
        <v>35000</v>
      </c>
      <c r="AP94" s="125">
        <f>AI94*Valores!$C$72</f>
        <v>-66176.16687</v>
      </c>
      <c r="AQ94" s="125">
        <f>IF(AI94&lt;Valores!$E$73,-0.02,IF(AI94&lt;Valores!$F$73,-0.03,-0.04))*AI94</f>
        <v>-12032.03034</v>
      </c>
      <c r="AR94" s="125">
        <f>AI94*Valores!$C$75</f>
        <v>-33088.083435</v>
      </c>
      <c r="AS94" s="125">
        <f>Valores!$C$102</f>
        <v>-1270.16</v>
      </c>
      <c r="AT94" s="125">
        <f>IF($F$5=0,Valores!$C$103,(Valores!$C$103+$F$5*(Valores!$C$103)))</f>
        <v>-11714</v>
      </c>
      <c r="AU94" s="125">
        <f t="shared" si="17"/>
        <v>512321.076355</v>
      </c>
      <c r="AV94" s="125">
        <f t="shared" si="11"/>
        <v>-66176.16687</v>
      </c>
      <c r="AW94" s="125">
        <f t="shared" si="18"/>
        <v>-12032.03034</v>
      </c>
      <c r="AX94" s="125">
        <f>AI94*Valores!$C$76</f>
        <v>-16243.240958999999</v>
      </c>
      <c r="AY94" s="125">
        <f>AI94*Valores!$C$77</f>
        <v>-1804.804551</v>
      </c>
      <c r="AZ94" s="125">
        <f t="shared" si="15"/>
        <v>540345.27428</v>
      </c>
      <c r="BA94" s="125">
        <f>AI94*Valores!$C$79</f>
        <v>96256.24272</v>
      </c>
      <c r="BB94" s="125">
        <f>AI94*Valores!$C$80</f>
        <v>42112.106190000006</v>
      </c>
      <c r="BC94" s="125">
        <f>AI94*Valores!$C$81</f>
        <v>6016.01517</v>
      </c>
      <c r="BD94" s="125">
        <f>AI94*Valores!$C$83</f>
        <v>21056.053095000003</v>
      </c>
      <c r="BE94" s="125">
        <f>AI94*Valores!$C$85</f>
        <v>32486.481917999998</v>
      </c>
      <c r="BF94" s="125">
        <f>AI94*Valores!$C$84</f>
        <v>3609.609102</v>
      </c>
      <c r="BG94" s="126"/>
      <c r="BH94" s="126">
        <v>25</v>
      </c>
      <c r="BI94" s="123" t="s">
        <v>4</v>
      </c>
    </row>
    <row r="95" spans="1:61" s="110" customFormat="1" ht="11.25" customHeight="1">
      <c r="A95" s="123" t="s">
        <v>275</v>
      </c>
      <c r="B95" s="123">
        <v>1</v>
      </c>
      <c r="C95" s="126">
        <v>88</v>
      </c>
      <c r="D95" s="124" t="s">
        <v>276</v>
      </c>
      <c r="E95" s="192">
        <v>64</v>
      </c>
      <c r="F95" s="125">
        <f>ROUND(E95*Valores!$C$2,2)</f>
        <v>5297.92</v>
      </c>
      <c r="G95" s="192">
        <v>2086</v>
      </c>
      <c r="H95" s="125">
        <f>ROUND(G95*Valores!$C$2,2)</f>
        <v>172679.08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62097.55</v>
      </c>
      <c r="N95" s="125">
        <f t="shared" si="12"/>
        <v>0</v>
      </c>
      <c r="O95" s="125">
        <f>Valores!$C$9</f>
        <v>104016.7</v>
      </c>
      <c r="P95" s="125">
        <f>Valores!$D$5</f>
        <v>42317.14</v>
      </c>
      <c r="Q95" s="125">
        <f>Valores!$C$22</f>
        <v>37751.3</v>
      </c>
      <c r="R95" s="125">
        <f>IF($F$4="NO",Valores!$C$46,Valores!$C$46/2)</f>
        <v>31038.89</v>
      </c>
      <c r="S95" s="125">
        <f>Valores!$C$19</f>
        <v>39374.32</v>
      </c>
      <c r="T95" s="125">
        <f t="shared" si="19"/>
        <v>39374.32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Valores!$C$97</f>
        <v>69533</v>
      </c>
      <c r="AA95" s="125">
        <f>Valores!$C$25</f>
        <v>1730.69</v>
      </c>
      <c r="AB95" s="214">
        <v>0</v>
      </c>
      <c r="AC95" s="125">
        <f t="shared" si="13"/>
        <v>0</v>
      </c>
      <c r="AD95" s="125">
        <f>Valores!$C$26</f>
        <v>1730.69</v>
      </c>
      <c r="AE95" s="192">
        <v>0</v>
      </c>
      <c r="AF95" s="125">
        <f>ROUND(AE95*Valores!$C$2,2)</f>
        <v>0</v>
      </c>
      <c r="AG95" s="125">
        <f>ROUND(IF($F$4="NO",Valores!$C$64,Valores!$C$64/2),2)</f>
        <v>19786.28</v>
      </c>
      <c r="AH95" s="125">
        <f>SUM(F95,H95,J95,L95,M95,N95,O95,P95,Q95,R95,T95,U95,V95,X95,Y95,Z95,AA95,AC95,AD95,AF95,AG95)*Valores!$C$104</f>
        <v>58735.356</v>
      </c>
      <c r="AI95" s="125">
        <f t="shared" si="16"/>
        <v>646088.916</v>
      </c>
      <c r="AJ95" s="125">
        <f>Valores!$C$31</f>
        <v>35000</v>
      </c>
      <c r="AK95" s="125">
        <v>0</v>
      </c>
      <c r="AL95" s="125">
        <f>Valores!$C$90</f>
        <v>0</v>
      </c>
      <c r="AM95" s="125">
        <f>Valores!C$39*B95</f>
        <v>0</v>
      </c>
      <c r="AN95" s="125">
        <f>IF($F$3="NO",0,Valores!$C$57)</f>
        <v>0</v>
      </c>
      <c r="AO95" s="125">
        <f t="shared" si="14"/>
        <v>35000</v>
      </c>
      <c r="AP95" s="125">
        <f>AI95*Valores!$C$72</f>
        <v>-71069.78076</v>
      </c>
      <c r="AQ95" s="125">
        <f>IF(AI95&lt;Valores!$E$73,-0.02,IF(AI95&lt;Valores!$F$73,-0.03,-0.04))*AI95</f>
        <v>-12921.77832</v>
      </c>
      <c r="AR95" s="125">
        <f>AI95*Valores!$C$75</f>
        <v>-35534.89038</v>
      </c>
      <c r="AS95" s="125">
        <f>Valores!$C$102</f>
        <v>-1270.16</v>
      </c>
      <c r="AT95" s="125">
        <f>IF($F$5=0,Valores!$C$103,(Valores!$C$103+$F$5*(Valores!$C$103)))</f>
        <v>-11714</v>
      </c>
      <c r="AU95" s="125">
        <f t="shared" si="17"/>
        <v>548578.30654</v>
      </c>
      <c r="AV95" s="125">
        <f t="shared" si="11"/>
        <v>-71069.78076</v>
      </c>
      <c r="AW95" s="125">
        <f t="shared" si="18"/>
        <v>-12921.77832</v>
      </c>
      <c r="AX95" s="125">
        <f>AI95*Valores!$C$76</f>
        <v>-17444.400732</v>
      </c>
      <c r="AY95" s="125">
        <f>AI95*Valores!$C$77</f>
        <v>-1938.266748</v>
      </c>
      <c r="AZ95" s="125">
        <f t="shared" si="15"/>
        <v>577714.68944</v>
      </c>
      <c r="BA95" s="125">
        <f>AI95*Valores!$C$79</f>
        <v>103374.22656</v>
      </c>
      <c r="BB95" s="125">
        <f>AI95*Valores!$C$80</f>
        <v>45226.22412</v>
      </c>
      <c r="BC95" s="125">
        <f>AI95*Valores!$C$81</f>
        <v>6460.88916</v>
      </c>
      <c r="BD95" s="125">
        <f>AI95*Valores!$C$83</f>
        <v>22613.11206</v>
      </c>
      <c r="BE95" s="125">
        <f>AI95*Valores!$C$85</f>
        <v>34888.801464</v>
      </c>
      <c r="BF95" s="125">
        <f>AI95*Valores!$C$84</f>
        <v>3876.533496</v>
      </c>
      <c r="BG95" s="126"/>
      <c r="BH95" s="126">
        <v>25</v>
      </c>
      <c r="BI95" s="123" t="s">
        <v>4</v>
      </c>
    </row>
    <row r="96" spans="1:61" s="110" customFormat="1" ht="11.25" customHeight="1">
      <c r="A96" s="123" t="s">
        <v>277</v>
      </c>
      <c r="B96" s="123">
        <v>1</v>
      </c>
      <c r="C96" s="126">
        <v>89</v>
      </c>
      <c r="D96" s="124" t="s">
        <v>278</v>
      </c>
      <c r="E96" s="192">
        <v>89</v>
      </c>
      <c r="F96" s="125">
        <f>ROUND(E96*Valores!$C$2,2)</f>
        <v>7367.42</v>
      </c>
      <c r="G96" s="192">
        <v>2481</v>
      </c>
      <c r="H96" s="125">
        <f>ROUND(G96*Valores!$C$2,2)</f>
        <v>205377.18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70378.6</v>
      </c>
      <c r="N96" s="125">
        <f t="shared" si="12"/>
        <v>0</v>
      </c>
      <c r="O96" s="125">
        <f>Valores!$C$8</f>
        <v>103748.61</v>
      </c>
      <c r="P96" s="125">
        <f>Valores!$D$5</f>
        <v>42317.14</v>
      </c>
      <c r="Q96" s="125">
        <v>0</v>
      </c>
      <c r="R96" s="125">
        <f>IF($F$4="NO",Valores!$C$45,Valores!$C$45/2)</f>
        <v>29395.49</v>
      </c>
      <c r="S96" s="125">
        <f>Valores!$C$19</f>
        <v>39374.32</v>
      </c>
      <c r="T96" s="125">
        <f t="shared" si="19"/>
        <v>39374.32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Valores!$C$96</f>
        <v>57944.18</v>
      </c>
      <c r="AA96" s="125">
        <f>Valores!$C$25</f>
        <v>1730.69</v>
      </c>
      <c r="AB96" s="214">
        <v>0</v>
      </c>
      <c r="AC96" s="125">
        <f t="shared" si="13"/>
        <v>0</v>
      </c>
      <c r="AD96" s="125">
        <f>Valores!$C$26</f>
        <v>1730.69</v>
      </c>
      <c r="AE96" s="192">
        <v>0</v>
      </c>
      <c r="AF96" s="125">
        <f>ROUND(AE96*Valores!$C$2,2)</f>
        <v>0</v>
      </c>
      <c r="AG96" s="125">
        <f>ROUND(IF($F$4="NO",Valores!$C$64,Valores!$C$64/2),2)</f>
        <v>19786.28</v>
      </c>
      <c r="AH96" s="125">
        <f>SUM(F96,H96,J96,L96,M96,N96,O96,P96,Q96,R96,T96,U96,V96,X96,Y96,Z96,AA96,AC96,AD96,AF96,AG96)*Valores!$C$104</f>
        <v>57915.06</v>
      </c>
      <c r="AI96" s="125">
        <f t="shared" si="16"/>
        <v>637065.6599999999</v>
      </c>
      <c r="AJ96" s="125">
        <f>Valores!$C$31</f>
        <v>35000</v>
      </c>
      <c r="AK96" s="125">
        <v>0</v>
      </c>
      <c r="AL96" s="125">
        <f>Valores!$C$89</f>
        <v>0</v>
      </c>
      <c r="AM96" s="125">
        <f>Valores!C$39*B96</f>
        <v>0</v>
      </c>
      <c r="AN96" s="125">
        <f>IF($F$3="NO",0,Valores!$C$57)</f>
        <v>0</v>
      </c>
      <c r="AO96" s="125">
        <f t="shared" si="14"/>
        <v>35000</v>
      </c>
      <c r="AP96" s="125">
        <f>AI96*Valores!$C$72</f>
        <v>-70077.2226</v>
      </c>
      <c r="AQ96" s="125">
        <f>IF(AI96&lt;Valores!$E$73,-0.02,IF(AI96&lt;Valores!$F$73,-0.03,-0.04))*AI96</f>
        <v>-12741.313199999999</v>
      </c>
      <c r="AR96" s="125">
        <f>AI96*Valores!$C$75</f>
        <v>-35038.6113</v>
      </c>
      <c r="AS96" s="125">
        <f>Valores!$C$102</f>
        <v>-1270.16</v>
      </c>
      <c r="AT96" s="125">
        <f>IF($F$5=0,Valores!$C$103,(Valores!$C$103+$F$5*(Valores!$C$103)))</f>
        <v>-11714</v>
      </c>
      <c r="AU96" s="125">
        <f t="shared" si="17"/>
        <v>541224.3528999999</v>
      </c>
      <c r="AV96" s="125">
        <f t="shared" si="11"/>
        <v>-70077.2226</v>
      </c>
      <c r="AW96" s="125">
        <f t="shared" si="18"/>
        <v>-12741.313199999999</v>
      </c>
      <c r="AX96" s="125">
        <f>AI96*Valores!$C$76</f>
        <v>-17200.77282</v>
      </c>
      <c r="AY96" s="125">
        <f>AI96*Valores!$C$77</f>
        <v>-1911.1969799999997</v>
      </c>
      <c r="AZ96" s="125">
        <f t="shared" si="15"/>
        <v>570135.1543999999</v>
      </c>
      <c r="BA96" s="125">
        <f>AI96*Valores!$C$79</f>
        <v>101930.50559999999</v>
      </c>
      <c r="BB96" s="125">
        <f>AI96*Valores!$C$80</f>
        <v>44594.5962</v>
      </c>
      <c r="BC96" s="125">
        <f>AI96*Valores!$C$81</f>
        <v>6370.656599999999</v>
      </c>
      <c r="BD96" s="125">
        <f>AI96*Valores!$C$83</f>
        <v>22297.2981</v>
      </c>
      <c r="BE96" s="125">
        <f>AI96*Valores!$C$85</f>
        <v>34401.54564</v>
      </c>
      <c r="BF96" s="125">
        <f>AI96*Valores!$C$84</f>
        <v>3822.3939599999994</v>
      </c>
      <c r="BG96" s="126"/>
      <c r="BH96" s="126">
        <v>25</v>
      </c>
      <c r="BI96" s="123" t="s">
        <v>8</v>
      </c>
    </row>
    <row r="97" spans="1:61" s="110" customFormat="1" ht="11.25" customHeight="1">
      <c r="A97" s="123" t="s">
        <v>279</v>
      </c>
      <c r="B97" s="123">
        <v>1</v>
      </c>
      <c r="C97" s="126">
        <v>90</v>
      </c>
      <c r="D97" s="124" t="s">
        <v>280</v>
      </c>
      <c r="E97" s="192">
        <v>89</v>
      </c>
      <c r="F97" s="125">
        <f>ROUND(E97*Valores!$C$2,2)</f>
        <v>7367.42</v>
      </c>
      <c r="G97" s="192">
        <v>2381</v>
      </c>
      <c r="H97" s="125">
        <f>ROUND(G97*Valores!$C$2,2)</f>
        <v>197099.18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68309.1</v>
      </c>
      <c r="N97" s="125">
        <f t="shared" si="12"/>
        <v>0</v>
      </c>
      <c r="O97" s="125">
        <f>Valores!$C$16</f>
        <v>71528.26</v>
      </c>
      <c r="P97" s="125">
        <f>Valores!$D$5</f>
        <v>42317.14</v>
      </c>
      <c r="Q97" s="125">
        <f>Valores!$C$22</f>
        <v>37751.3</v>
      </c>
      <c r="R97" s="125">
        <f>IF($F$4="NO",Valores!$C$45,Valores!$C$45/2)</f>
        <v>29395.49</v>
      </c>
      <c r="S97" s="125">
        <f>Valores!$C$19</f>
        <v>39374.32</v>
      </c>
      <c r="T97" s="125">
        <f t="shared" si="19"/>
        <v>39374.32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Valores!$C$96</f>
        <v>57944.18</v>
      </c>
      <c r="AA97" s="125">
        <f>Valores!$C$25</f>
        <v>1730.69</v>
      </c>
      <c r="AB97" s="214">
        <v>0</v>
      </c>
      <c r="AC97" s="125">
        <f t="shared" si="13"/>
        <v>0</v>
      </c>
      <c r="AD97" s="125">
        <f>Valores!$C$26</f>
        <v>1730.69</v>
      </c>
      <c r="AE97" s="192">
        <v>0</v>
      </c>
      <c r="AF97" s="125">
        <f>ROUND(AE97*Valores!$C$2,2)</f>
        <v>0</v>
      </c>
      <c r="AG97" s="125">
        <f>ROUND(IF($F$4="NO",Valores!$C$64,Valores!$C$64/2),2)</f>
        <v>19786.28</v>
      </c>
      <c r="AH97" s="125">
        <f>SUM(F97,H97,J97,L97,M97,N97,O97,P97,Q97,R97,T97,U97,V97,X97,Y97,Z97,AA97,AC97,AD97,AF97,AG97)*Valores!$C$104</f>
        <v>57433.405</v>
      </c>
      <c r="AI97" s="125">
        <f t="shared" si="16"/>
        <v>631767.455</v>
      </c>
      <c r="AJ97" s="125">
        <f>Valores!$C$31</f>
        <v>35000</v>
      </c>
      <c r="AK97" s="125">
        <v>0</v>
      </c>
      <c r="AL97" s="125">
        <f>Valores!$C$89</f>
        <v>0</v>
      </c>
      <c r="AM97" s="125">
        <f>Valores!C$39*B97</f>
        <v>0</v>
      </c>
      <c r="AN97" s="125">
        <f>IF($F$3="NO",0,Valores!$C$57)</f>
        <v>0</v>
      </c>
      <c r="AO97" s="125">
        <f t="shared" si="14"/>
        <v>35000</v>
      </c>
      <c r="AP97" s="125">
        <f>AI97*Valores!$C$72</f>
        <v>-69494.42005</v>
      </c>
      <c r="AQ97" s="125">
        <f>IF(AI97&lt;Valores!$E$73,-0.02,IF(AI97&lt;Valores!$F$73,-0.03,-0.04))*AI97</f>
        <v>-12635.3491</v>
      </c>
      <c r="AR97" s="125">
        <f>AI97*Valores!$C$75</f>
        <v>-34747.210025</v>
      </c>
      <c r="AS97" s="125">
        <f>Valores!$C$102</f>
        <v>-1270.16</v>
      </c>
      <c r="AT97" s="125">
        <f>IF($F$5=0,Valores!$C$103,(Valores!$C$103+$F$5*(Valores!$C$103)))</f>
        <v>-11714</v>
      </c>
      <c r="AU97" s="125">
        <f t="shared" si="17"/>
        <v>536906.3158249999</v>
      </c>
      <c r="AV97" s="125">
        <f t="shared" si="11"/>
        <v>-69494.42005</v>
      </c>
      <c r="AW97" s="125">
        <f t="shared" si="18"/>
        <v>-12635.3491</v>
      </c>
      <c r="AX97" s="125">
        <f>AI97*Valores!$C$76</f>
        <v>-17057.721285</v>
      </c>
      <c r="AY97" s="125">
        <f>AI97*Valores!$C$77</f>
        <v>-1895.302365</v>
      </c>
      <c r="AZ97" s="125">
        <f t="shared" si="15"/>
        <v>565684.6621999999</v>
      </c>
      <c r="BA97" s="125">
        <f>AI97*Valores!$C$79</f>
        <v>101082.7928</v>
      </c>
      <c r="BB97" s="125">
        <f>AI97*Valores!$C$80</f>
        <v>44223.72185</v>
      </c>
      <c r="BC97" s="125">
        <f>AI97*Valores!$C$81</f>
        <v>6317.67455</v>
      </c>
      <c r="BD97" s="125">
        <f>AI97*Valores!$C$83</f>
        <v>22111.860925</v>
      </c>
      <c r="BE97" s="125">
        <f>AI97*Valores!$C$85</f>
        <v>34115.44257</v>
      </c>
      <c r="BF97" s="125">
        <f>AI97*Valores!$C$84</f>
        <v>3790.60473</v>
      </c>
      <c r="BG97" s="126"/>
      <c r="BH97" s="126">
        <v>25</v>
      </c>
      <c r="BI97" s="123" t="s">
        <v>4</v>
      </c>
    </row>
    <row r="98" spans="1:61" s="110" customFormat="1" ht="11.25" customHeight="1">
      <c r="A98" s="123" t="s">
        <v>281</v>
      </c>
      <c r="B98" s="123">
        <v>1</v>
      </c>
      <c r="C98" s="126">
        <v>91</v>
      </c>
      <c r="D98" s="124" t="s">
        <v>282</v>
      </c>
      <c r="E98" s="192">
        <v>89</v>
      </c>
      <c r="F98" s="125">
        <f>ROUND(E98*Valores!$C$2,2)</f>
        <v>7367.42</v>
      </c>
      <c r="G98" s="192">
        <v>1768</v>
      </c>
      <c r="H98" s="125">
        <f>ROUND(G98*Valores!$C$2,2)</f>
        <v>146355.04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55623.07</v>
      </c>
      <c r="N98" s="125">
        <f t="shared" si="12"/>
        <v>0</v>
      </c>
      <c r="O98" s="125">
        <f>Valores!$C$16</f>
        <v>71528.26</v>
      </c>
      <c r="P98" s="125">
        <f>Valores!$D$5</f>
        <v>42317.14</v>
      </c>
      <c r="Q98" s="125">
        <f>Valores!$C$22</f>
        <v>37751.3</v>
      </c>
      <c r="R98" s="125">
        <f>IF($F$4="NO",Valores!$C$45,Valores!$C$45/2)</f>
        <v>29395.49</v>
      </c>
      <c r="S98" s="125">
        <f>Valores!$C$19</f>
        <v>39374.32</v>
      </c>
      <c r="T98" s="125">
        <f t="shared" si="19"/>
        <v>39374.32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Valores!$C$96</f>
        <v>57944.18</v>
      </c>
      <c r="AA98" s="125">
        <f>Valores!$C$25</f>
        <v>1730.69</v>
      </c>
      <c r="AB98" s="214">
        <v>0</v>
      </c>
      <c r="AC98" s="125">
        <f t="shared" si="13"/>
        <v>0</v>
      </c>
      <c r="AD98" s="125">
        <f>Valores!$C$26</f>
        <v>1730.69</v>
      </c>
      <c r="AE98" s="192">
        <v>0</v>
      </c>
      <c r="AF98" s="125">
        <f>ROUND(AE98*Valores!$C$2,2)</f>
        <v>0</v>
      </c>
      <c r="AG98" s="125">
        <f>ROUND(IF($F$4="NO",Valores!$C$64,Valores!$C$64/2),2)</f>
        <v>19786.28</v>
      </c>
      <c r="AH98" s="125">
        <f>SUM(F98,H98,J98,L98,M98,N98,O98,P98,Q98,R98,T98,U98,V98,X98,Y98,Z98,AA98,AC98,AD98,AF98,AG98)*Valores!$C$104</f>
        <v>51090.388000000006</v>
      </c>
      <c r="AI98" s="125">
        <f t="shared" si="16"/>
        <v>561994.268</v>
      </c>
      <c r="AJ98" s="125">
        <f>Valores!$C$31</f>
        <v>35000</v>
      </c>
      <c r="AK98" s="125">
        <v>0</v>
      </c>
      <c r="AL98" s="125">
        <f>Valores!$C$89</f>
        <v>0</v>
      </c>
      <c r="AM98" s="125">
        <f>Valores!C$39*B98</f>
        <v>0</v>
      </c>
      <c r="AN98" s="125">
        <f>IF($F$3="NO",0,Valores!$C$57)</f>
        <v>0</v>
      </c>
      <c r="AO98" s="125">
        <f t="shared" si="14"/>
        <v>35000</v>
      </c>
      <c r="AP98" s="125">
        <f>AI98*Valores!$C$72</f>
        <v>-61819.36948</v>
      </c>
      <c r="AQ98" s="125">
        <f>IF(AI98&lt;Valores!$E$73,-0.02,IF(AI98&lt;Valores!$F$73,-0.03,-0.04))*AI98</f>
        <v>-11239.88536</v>
      </c>
      <c r="AR98" s="125">
        <f>AI98*Valores!$C$75</f>
        <v>-30909.68474</v>
      </c>
      <c r="AS98" s="125">
        <f>Valores!$C$102</f>
        <v>-1270.16</v>
      </c>
      <c r="AT98" s="125">
        <f>IF($F$5=0,Valores!$C$103,(Valores!$C$103+$F$5*(Valores!$C$103)))</f>
        <v>-11714</v>
      </c>
      <c r="AU98" s="125">
        <f t="shared" si="17"/>
        <v>480041.16842</v>
      </c>
      <c r="AV98" s="125">
        <f t="shared" si="11"/>
        <v>-61819.36948</v>
      </c>
      <c r="AW98" s="125">
        <f t="shared" si="18"/>
        <v>-11239.88536</v>
      </c>
      <c r="AX98" s="125">
        <f>AI98*Valores!$C$76</f>
        <v>-15173.845236000001</v>
      </c>
      <c r="AY98" s="125">
        <f>AI98*Valores!$C$77</f>
        <v>-1685.9828040000002</v>
      </c>
      <c r="AZ98" s="125">
        <f t="shared" si="15"/>
        <v>507075.18512000004</v>
      </c>
      <c r="BA98" s="125">
        <f>AI98*Valores!$C$79</f>
        <v>89919.08288</v>
      </c>
      <c r="BB98" s="125">
        <f>AI98*Valores!$C$80</f>
        <v>39339.59876000001</v>
      </c>
      <c r="BC98" s="125">
        <f>AI98*Valores!$C$81</f>
        <v>5619.94268</v>
      </c>
      <c r="BD98" s="125">
        <f>AI98*Valores!$C$83</f>
        <v>19669.799380000004</v>
      </c>
      <c r="BE98" s="125">
        <f>AI98*Valores!$C$85</f>
        <v>30347.690472000002</v>
      </c>
      <c r="BF98" s="125">
        <f>AI98*Valores!$C$84</f>
        <v>3371.9656080000004</v>
      </c>
      <c r="BG98" s="126"/>
      <c r="BH98" s="126">
        <v>25</v>
      </c>
      <c r="BI98" s="123" t="s">
        <v>4</v>
      </c>
    </row>
    <row r="99" spans="1:61" s="110" customFormat="1" ht="11.25" customHeight="1">
      <c r="A99" s="123" t="s">
        <v>283</v>
      </c>
      <c r="B99" s="123">
        <v>1</v>
      </c>
      <c r="C99" s="126">
        <v>92</v>
      </c>
      <c r="D99" s="124" t="s">
        <v>284</v>
      </c>
      <c r="E99" s="192">
        <v>89</v>
      </c>
      <c r="F99" s="125">
        <f>ROUND(E99*Valores!$C$2,2)</f>
        <v>7367.42</v>
      </c>
      <c r="G99" s="192">
        <v>1768</v>
      </c>
      <c r="H99" s="125">
        <f>ROUND(G99*Valores!$C$2,2)</f>
        <v>146355.04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55623.07</v>
      </c>
      <c r="N99" s="125">
        <f t="shared" si="12"/>
        <v>0</v>
      </c>
      <c r="O99" s="125">
        <f>Valores!$C$8</f>
        <v>103748.61</v>
      </c>
      <c r="P99" s="125">
        <f>Valores!$D$5</f>
        <v>42317.14</v>
      </c>
      <c r="Q99" s="125">
        <f>Valores!$C$22</f>
        <v>37751.3</v>
      </c>
      <c r="R99" s="125">
        <f>IF($F$4="NO",Valores!$C$45,Valores!$C$45/2)</f>
        <v>29395.49</v>
      </c>
      <c r="S99" s="125">
        <f>Valores!$C$19</f>
        <v>39374.32</v>
      </c>
      <c r="T99" s="125">
        <f t="shared" si="19"/>
        <v>39374.32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Valores!$C$96</f>
        <v>57944.18</v>
      </c>
      <c r="AA99" s="125">
        <f>Valores!$C$25</f>
        <v>1730.69</v>
      </c>
      <c r="AB99" s="214">
        <v>0</v>
      </c>
      <c r="AC99" s="125">
        <f t="shared" si="13"/>
        <v>0</v>
      </c>
      <c r="AD99" s="125">
        <f>Valores!$C$26</f>
        <v>1730.69</v>
      </c>
      <c r="AE99" s="192">
        <v>0</v>
      </c>
      <c r="AF99" s="125">
        <f>ROUND(AE99*Valores!$C$2,2)</f>
        <v>0</v>
      </c>
      <c r="AG99" s="125">
        <f>ROUND(IF($F$4="NO",Valores!$C$64,Valores!$C$64/2),2)</f>
        <v>19786.28</v>
      </c>
      <c r="AH99" s="125">
        <f>SUM(F99,H99,J99,L99,M99,N99,O99,P99,Q99,R99,T99,U99,V99,X99,Y99,Z99,AA99,AC99,AD99,AF99,AG99)*Valores!$C$104</f>
        <v>54312.423</v>
      </c>
      <c r="AI99" s="125">
        <f t="shared" si="16"/>
        <v>597436.6529999999</v>
      </c>
      <c r="AJ99" s="125">
        <f>Valores!$C$31</f>
        <v>35000</v>
      </c>
      <c r="AK99" s="125">
        <v>0</v>
      </c>
      <c r="AL99" s="125">
        <f>Valores!$C$89</f>
        <v>0</v>
      </c>
      <c r="AM99" s="125">
        <f>Valores!C$39*B99</f>
        <v>0</v>
      </c>
      <c r="AN99" s="125">
        <f>IF($F$3="NO",0,Valores!$C$57)</f>
        <v>0</v>
      </c>
      <c r="AO99" s="125">
        <f t="shared" si="14"/>
        <v>35000</v>
      </c>
      <c r="AP99" s="125">
        <f>AI99*Valores!$C$72</f>
        <v>-65718.03182999999</v>
      </c>
      <c r="AQ99" s="125">
        <f>IF(AI99&lt;Valores!$E$73,-0.02,IF(AI99&lt;Valores!$F$73,-0.03,-0.04))*AI99</f>
        <v>-11948.733059999999</v>
      </c>
      <c r="AR99" s="125">
        <f>AI99*Valores!$C$75</f>
        <v>-32859.015914999996</v>
      </c>
      <c r="AS99" s="125">
        <f>Valores!$C$102</f>
        <v>-1270.16</v>
      </c>
      <c r="AT99" s="125">
        <f>IF($F$5=0,Valores!$C$103,(Valores!$C$103+$F$5*(Valores!$C$103)))</f>
        <v>-11714</v>
      </c>
      <c r="AU99" s="125">
        <f t="shared" si="17"/>
        <v>508926.7121949999</v>
      </c>
      <c r="AV99" s="125">
        <f t="shared" si="11"/>
        <v>-65718.03182999999</v>
      </c>
      <c r="AW99" s="125">
        <f t="shared" si="18"/>
        <v>-11948.733059999999</v>
      </c>
      <c r="AX99" s="125">
        <f>AI99*Valores!$C$76</f>
        <v>-16130.789630999998</v>
      </c>
      <c r="AY99" s="125">
        <f>AI99*Valores!$C$77</f>
        <v>-1792.309959</v>
      </c>
      <c r="AZ99" s="125">
        <f t="shared" si="15"/>
        <v>536846.78852</v>
      </c>
      <c r="BA99" s="125">
        <f>AI99*Valores!$C$79</f>
        <v>95589.86447999999</v>
      </c>
      <c r="BB99" s="125">
        <f>AI99*Valores!$C$80</f>
        <v>41820.56571</v>
      </c>
      <c r="BC99" s="125">
        <f>AI99*Valores!$C$81</f>
        <v>5974.366529999999</v>
      </c>
      <c r="BD99" s="125">
        <f>AI99*Valores!$C$83</f>
        <v>20910.282855</v>
      </c>
      <c r="BE99" s="125">
        <f>AI99*Valores!$C$85</f>
        <v>32261.579261999996</v>
      </c>
      <c r="BF99" s="125">
        <f>AI99*Valores!$C$84</f>
        <v>3584.619918</v>
      </c>
      <c r="BG99" s="126"/>
      <c r="BH99" s="126"/>
      <c r="BI99" s="123" t="s">
        <v>4</v>
      </c>
    </row>
    <row r="100" spans="1:61" s="110" customFormat="1" ht="11.25" customHeight="1">
      <c r="A100" s="123" t="s">
        <v>285</v>
      </c>
      <c r="B100" s="123">
        <v>1</v>
      </c>
      <c r="C100" s="126">
        <v>93</v>
      </c>
      <c r="D100" s="124" t="s">
        <v>286</v>
      </c>
      <c r="E100" s="192">
        <v>89</v>
      </c>
      <c r="F100" s="125">
        <f>ROUND(E100*Valores!$C$2,2)</f>
        <v>7367.42</v>
      </c>
      <c r="G100" s="192">
        <v>2211</v>
      </c>
      <c r="H100" s="125">
        <f>ROUND(G100*Valores!$C$2,2)</f>
        <v>183026.58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64790.95</v>
      </c>
      <c r="N100" s="125">
        <f t="shared" si="12"/>
        <v>0</v>
      </c>
      <c r="O100" s="125">
        <f>Valores!$C$8</f>
        <v>103748.61</v>
      </c>
      <c r="P100" s="125">
        <f>Valores!$D$5</f>
        <v>42317.14</v>
      </c>
      <c r="Q100" s="125">
        <f>Valores!$C$22</f>
        <v>37751.3</v>
      </c>
      <c r="R100" s="125">
        <f>IF($F$4="NO",Valores!$C$45,Valores!$C$45/2)</f>
        <v>29395.49</v>
      </c>
      <c r="S100" s="125">
        <f>Valores!$C$19</f>
        <v>39374.32</v>
      </c>
      <c r="T100" s="125">
        <f t="shared" si="19"/>
        <v>39374.32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Valores!$C$96</f>
        <v>57944.18</v>
      </c>
      <c r="AA100" s="125">
        <f>Valores!$C$25</f>
        <v>1730.69</v>
      </c>
      <c r="AB100" s="214">
        <v>0</v>
      </c>
      <c r="AC100" s="125">
        <f t="shared" si="13"/>
        <v>0</v>
      </c>
      <c r="AD100" s="125">
        <f>Valores!$C$26</f>
        <v>1730.69</v>
      </c>
      <c r="AE100" s="192">
        <v>0</v>
      </c>
      <c r="AF100" s="125">
        <f>ROUND(AE100*Valores!$C$2,2)</f>
        <v>0</v>
      </c>
      <c r="AG100" s="125">
        <f>ROUND(IF($F$4="NO",Valores!$C$64,Valores!$C$64/2),2)</f>
        <v>19786.28</v>
      </c>
      <c r="AH100" s="125">
        <f>SUM(F100,H100,J100,L100,M100,N100,O100,P100,Q100,R100,T100,U100,V100,X100,Y100,Z100,AA100,AC100,AD100,AF100,AG100)*Valores!$C$104</f>
        <v>58896.36499999999</v>
      </c>
      <c r="AI100" s="125">
        <f t="shared" si="16"/>
        <v>647860.0149999999</v>
      </c>
      <c r="AJ100" s="125">
        <f>Valores!$C$31</f>
        <v>35000</v>
      </c>
      <c r="AK100" s="125">
        <v>0</v>
      </c>
      <c r="AL100" s="125">
        <f>Valores!$C$89</f>
        <v>0</v>
      </c>
      <c r="AM100" s="125">
        <f>Valores!C$39*B100</f>
        <v>0</v>
      </c>
      <c r="AN100" s="125">
        <f>IF($F$3="NO",0,Valores!$C$57)</f>
        <v>0</v>
      </c>
      <c r="AO100" s="125">
        <f t="shared" si="14"/>
        <v>35000</v>
      </c>
      <c r="AP100" s="125">
        <f>AI100*Valores!$C$72</f>
        <v>-71264.60164999998</v>
      </c>
      <c r="AQ100" s="125">
        <f>IF(AI100&lt;Valores!$E$73,-0.02,IF(AI100&lt;Valores!$F$73,-0.03,-0.04))*AI100</f>
        <v>-12957.200299999999</v>
      </c>
      <c r="AR100" s="125">
        <f>AI100*Valores!$C$75</f>
        <v>-35632.30082499999</v>
      </c>
      <c r="AS100" s="125">
        <f>Valores!$C$102</f>
        <v>-1270.16</v>
      </c>
      <c r="AT100" s="125">
        <f>IF($F$5=0,Valores!$C$103,(Valores!$C$103+$F$5*(Valores!$C$103)))</f>
        <v>-11714</v>
      </c>
      <c r="AU100" s="125">
        <f t="shared" si="17"/>
        <v>550021.752225</v>
      </c>
      <c r="AV100" s="125">
        <f t="shared" si="11"/>
        <v>-71264.60164999998</v>
      </c>
      <c r="AW100" s="125">
        <f t="shared" si="18"/>
        <v>-12957.200299999999</v>
      </c>
      <c r="AX100" s="125">
        <f>AI100*Valores!$C$76</f>
        <v>-17492.220404999996</v>
      </c>
      <c r="AY100" s="125">
        <f>AI100*Valores!$C$77</f>
        <v>-1943.5800449999997</v>
      </c>
      <c r="AZ100" s="125">
        <f t="shared" si="15"/>
        <v>579202.4125999999</v>
      </c>
      <c r="BA100" s="125">
        <f>AI100*Valores!$C$79</f>
        <v>103657.60239999999</v>
      </c>
      <c r="BB100" s="125">
        <f>AI100*Valores!$C$80</f>
        <v>45350.201049999996</v>
      </c>
      <c r="BC100" s="125">
        <f>AI100*Valores!$C$81</f>
        <v>6478.600149999999</v>
      </c>
      <c r="BD100" s="125">
        <f>AI100*Valores!$C$83</f>
        <v>22675.100524999998</v>
      </c>
      <c r="BE100" s="125">
        <f>AI100*Valores!$C$85</f>
        <v>34984.44080999999</v>
      </c>
      <c r="BF100" s="125">
        <f>AI100*Valores!$C$84</f>
        <v>3887.1600899999994</v>
      </c>
      <c r="BG100" s="126"/>
      <c r="BH100" s="126"/>
      <c r="BI100" s="123" t="s">
        <v>4</v>
      </c>
    </row>
    <row r="101" spans="1:61" s="110" customFormat="1" ht="11.25" customHeight="1">
      <c r="A101" s="123" t="s">
        <v>287</v>
      </c>
      <c r="B101" s="123">
        <v>1</v>
      </c>
      <c r="C101" s="126">
        <v>94</v>
      </c>
      <c r="D101" s="124" t="s">
        <v>288</v>
      </c>
      <c r="E101" s="192">
        <v>89</v>
      </c>
      <c r="F101" s="125">
        <f>ROUND(E101*Valores!$C$2,2)</f>
        <v>7367.42</v>
      </c>
      <c r="G101" s="192">
        <v>1956</v>
      </c>
      <c r="H101" s="125">
        <f>ROUND(G101*Valores!$C$2,2)</f>
        <v>161917.68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59513.73</v>
      </c>
      <c r="N101" s="125">
        <f t="shared" si="12"/>
        <v>0</v>
      </c>
      <c r="O101" s="125">
        <f>Valores!$C$16</f>
        <v>71528.26</v>
      </c>
      <c r="P101" s="125">
        <f>Valores!$D$5</f>
        <v>42317.14</v>
      </c>
      <c r="Q101" s="125">
        <v>0</v>
      </c>
      <c r="R101" s="125">
        <f>IF($F$4="NO",Valores!$C$45,Valores!$C$45/2)</f>
        <v>29395.49</v>
      </c>
      <c r="S101" s="125">
        <f>Valores!$C$19</f>
        <v>39374.32</v>
      </c>
      <c r="T101" s="125">
        <f t="shared" si="19"/>
        <v>39374.32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Valores!$C$96</f>
        <v>57944.18</v>
      </c>
      <c r="AA101" s="125">
        <f>Valores!$C$25</f>
        <v>1730.69</v>
      </c>
      <c r="AB101" s="214">
        <v>0</v>
      </c>
      <c r="AC101" s="125">
        <f t="shared" si="13"/>
        <v>0</v>
      </c>
      <c r="AD101" s="125">
        <f>Valores!$C$26</f>
        <v>1730.69</v>
      </c>
      <c r="AE101" s="192">
        <v>0</v>
      </c>
      <c r="AF101" s="125">
        <f>ROUND(AE101*Valores!$C$2,2)</f>
        <v>0</v>
      </c>
      <c r="AG101" s="125">
        <f>ROUND(IF($F$4="NO",Valores!$C$64,Valores!$C$64/2),2)</f>
        <v>19786.28</v>
      </c>
      <c r="AH101" s="125">
        <f>SUM(F101,H101,J101,L101,M101,N101,O101,P101,Q101,R101,T101,U101,V101,X101,Y101,Z101,AA101,AC101,AD101,AF101,AG101)*Valores!$C$104</f>
        <v>49260.588</v>
      </c>
      <c r="AI101" s="125">
        <f t="shared" si="16"/>
        <v>541866.468</v>
      </c>
      <c r="AJ101" s="125">
        <f>Valores!$C$31</f>
        <v>35000</v>
      </c>
      <c r="AK101" s="125">
        <v>0</v>
      </c>
      <c r="AL101" s="125">
        <f>Valores!$C$89</f>
        <v>0</v>
      </c>
      <c r="AM101" s="125">
        <f>Valores!C$39*B101</f>
        <v>0</v>
      </c>
      <c r="AN101" s="125">
        <f>IF($F$3="NO",0,Valores!$C$57)</f>
        <v>0</v>
      </c>
      <c r="AO101" s="125">
        <f t="shared" si="14"/>
        <v>35000</v>
      </c>
      <c r="AP101" s="125">
        <f>AI101*Valores!$C$72</f>
        <v>-59605.31148</v>
      </c>
      <c r="AQ101" s="125">
        <f>IF(AI101&lt;Valores!$E$73,-0.02,IF(AI101&lt;Valores!$F$73,-0.03,-0.04))*AI101</f>
        <v>-10837.32936</v>
      </c>
      <c r="AR101" s="125">
        <f>AI101*Valores!$C$75</f>
        <v>-29802.65574</v>
      </c>
      <c r="AS101" s="125">
        <f>Valores!$C$102</f>
        <v>-1270.16</v>
      </c>
      <c r="AT101" s="125">
        <f>IF($F$5=0,Valores!$C$103,(Valores!$C$103+$F$5*(Valores!$C$103)))</f>
        <v>-11714</v>
      </c>
      <c r="AU101" s="125">
        <f t="shared" si="17"/>
        <v>463637.01142</v>
      </c>
      <c r="AV101" s="125">
        <f t="shared" si="11"/>
        <v>-59605.31148</v>
      </c>
      <c r="AW101" s="125">
        <f t="shared" si="18"/>
        <v>-10837.32936</v>
      </c>
      <c r="AX101" s="125">
        <f>AI101*Valores!$C$76</f>
        <v>-14630.394635999999</v>
      </c>
      <c r="AY101" s="125">
        <f>AI101*Valores!$C$77</f>
        <v>-1625.599404</v>
      </c>
      <c r="AZ101" s="125">
        <f t="shared" si="15"/>
        <v>490167.83312</v>
      </c>
      <c r="BA101" s="125">
        <f>AI101*Valores!$C$79</f>
        <v>86698.63488</v>
      </c>
      <c r="BB101" s="125">
        <f>AI101*Valores!$C$80</f>
        <v>37930.652760000004</v>
      </c>
      <c r="BC101" s="125">
        <f>AI101*Valores!$C$81</f>
        <v>5418.66468</v>
      </c>
      <c r="BD101" s="125">
        <f>AI101*Valores!$C$83</f>
        <v>18965.326380000002</v>
      </c>
      <c r="BE101" s="125">
        <f>AI101*Valores!$C$85</f>
        <v>29260.789271999998</v>
      </c>
      <c r="BF101" s="125">
        <f>AI101*Valores!$C$84</f>
        <v>3251.198808</v>
      </c>
      <c r="BG101" s="126"/>
      <c r="BH101" s="126"/>
      <c r="BI101" s="123" t="s">
        <v>8</v>
      </c>
    </row>
    <row r="102" spans="1:61" s="110" customFormat="1" ht="11.25" customHeight="1">
      <c r="A102" s="123" t="s">
        <v>289</v>
      </c>
      <c r="B102" s="123">
        <v>1</v>
      </c>
      <c r="C102" s="126">
        <v>95</v>
      </c>
      <c r="D102" s="124" t="s">
        <v>290</v>
      </c>
      <c r="E102" s="192">
        <v>89</v>
      </c>
      <c r="F102" s="125">
        <f>ROUND(E102*Valores!$C$2,2)</f>
        <v>7367.42</v>
      </c>
      <c r="G102" s="192">
        <v>1267</v>
      </c>
      <c r="H102" s="125">
        <f>ROUND(G102*Valores!$C$2,2)</f>
        <v>104882.26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45254.87</v>
      </c>
      <c r="N102" s="125">
        <f t="shared" si="12"/>
        <v>0</v>
      </c>
      <c r="O102" s="125">
        <f>Valores!$C$16</f>
        <v>71528.26</v>
      </c>
      <c r="P102" s="125">
        <f>Valores!$D$5</f>
        <v>42317.14</v>
      </c>
      <c r="Q102" s="125">
        <v>0</v>
      </c>
      <c r="R102" s="125">
        <f>IF($F$4="NO",Valores!$C$45,Valores!$C$45/2)</f>
        <v>29395.49</v>
      </c>
      <c r="S102" s="125">
        <f>Valores!$C$19</f>
        <v>39374.32</v>
      </c>
      <c r="T102" s="125">
        <f t="shared" si="19"/>
        <v>39374.32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Valores!$C$96</f>
        <v>57944.18</v>
      </c>
      <c r="AA102" s="125">
        <f>Valores!$C$25</f>
        <v>1730.69</v>
      </c>
      <c r="AB102" s="214">
        <v>0</v>
      </c>
      <c r="AC102" s="125">
        <f t="shared" si="13"/>
        <v>0</v>
      </c>
      <c r="AD102" s="125">
        <f>Valores!$C$26</f>
        <v>1730.69</v>
      </c>
      <c r="AE102" s="192">
        <v>0</v>
      </c>
      <c r="AF102" s="125">
        <f>ROUND(AE102*Valores!$C$2,2)</f>
        <v>0</v>
      </c>
      <c r="AG102" s="125">
        <f>ROUND(IF($F$4="NO",Valores!$C$64,Valores!$C$64/2),2)</f>
        <v>19786.28</v>
      </c>
      <c r="AH102" s="125">
        <f>SUM(F102,H102,J102,L102,M102,N102,O102,P102,Q102,R102,T102,U102,V102,X102,Y102,Z102,AA102,AC102,AD102,AF102,AG102)*Valores!$C$104</f>
        <v>42131.16</v>
      </c>
      <c r="AI102" s="125">
        <f t="shared" si="16"/>
        <v>463442.76</v>
      </c>
      <c r="AJ102" s="125">
        <f>Valores!$C$31</f>
        <v>35000</v>
      </c>
      <c r="AK102" s="125">
        <v>0</v>
      </c>
      <c r="AL102" s="125">
        <f>Valores!$C$89</f>
        <v>0</v>
      </c>
      <c r="AM102" s="125">
        <f>Valores!C$39*B102</f>
        <v>0</v>
      </c>
      <c r="AN102" s="125">
        <f>IF($F$3="NO",0,Valores!$C$57)</f>
        <v>0</v>
      </c>
      <c r="AO102" s="125">
        <f t="shared" si="14"/>
        <v>35000</v>
      </c>
      <c r="AP102" s="125">
        <f>AI102*Valores!$C$72</f>
        <v>-50978.7036</v>
      </c>
      <c r="AQ102" s="125">
        <f>IF(AI102&lt;Valores!$E$73,-0.02,IF(AI102&lt;Valores!$F$73,-0.03,-0.04))*AI102</f>
        <v>-9268.8552</v>
      </c>
      <c r="AR102" s="125">
        <f>AI102*Valores!$C$75</f>
        <v>-25489.3518</v>
      </c>
      <c r="AS102" s="125">
        <f>Valores!$C$102</f>
        <v>-1270.16</v>
      </c>
      <c r="AT102" s="125">
        <f>IF($F$5=0,Valores!$C$103,(Valores!$C$103+$F$5*(Valores!$C$103)))</f>
        <v>-11714</v>
      </c>
      <c r="AU102" s="125">
        <f t="shared" si="17"/>
        <v>399721.68940000003</v>
      </c>
      <c r="AV102" s="125">
        <f t="shared" si="11"/>
        <v>-50978.7036</v>
      </c>
      <c r="AW102" s="125">
        <f t="shared" si="18"/>
        <v>-9268.8552</v>
      </c>
      <c r="AX102" s="125">
        <f>AI102*Valores!$C$76</f>
        <v>-12512.95452</v>
      </c>
      <c r="AY102" s="125">
        <f>AI102*Valores!$C$77</f>
        <v>-1390.32828</v>
      </c>
      <c r="AZ102" s="125">
        <f t="shared" si="15"/>
        <v>424291.9184</v>
      </c>
      <c r="BA102" s="125">
        <f>AI102*Valores!$C$79</f>
        <v>74150.8416</v>
      </c>
      <c r="BB102" s="125">
        <f>AI102*Valores!$C$80</f>
        <v>32440.993200000004</v>
      </c>
      <c r="BC102" s="125">
        <f>AI102*Valores!$C$81</f>
        <v>4634.4276</v>
      </c>
      <c r="BD102" s="125">
        <f>AI102*Valores!$C$83</f>
        <v>16220.496600000002</v>
      </c>
      <c r="BE102" s="125">
        <f>AI102*Valores!$C$85</f>
        <v>25025.90904</v>
      </c>
      <c r="BF102" s="125">
        <f>AI102*Valores!$C$84</f>
        <v>2780.65656</v>
      </c>
      <c r="BG102" s="126"/>
      <c r="BH102" s="126"/>
      <c r="BI102" s="123" t="s">
        <v>8</v>
      </c>
    </row>
    <row r="103" spans="1:61" s="110" customFormat="1" ht="11.25" customHeight="1">
      <c r="A103" s="123" t="s">
        <v>291</v>
      </c>
      <c r="B103" s="123">
        <v>1</v>
      </c>
      <c r="C103" s="126">
        <v>96</v>
      </c>
      <c r="D103" s="124" t="s">
        <v>292</v>
      </c>
      <c r="E103" s="192">
        <v>67</v>
      </c>
      <c r="F103" s="125">
        <f>ROUND(E103*Valores!$C$2,2)</f>
        <v>5546.26</v>
      </c>
      <c r="G103" s="192">
        <v>2108</v>
      </c>
      <c r="H103" s="125">
        <f>ROUND(G103*Valores!$C$2,2)</f>
        <v>174500.24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61275.41</v>
      </c>
      <c r="N103" s="125">
        <f t="shared" si="12"/>
        <v>0</v>
      </c>
      <c r="O103" s="125">
        <f>Valores!$C$14</f>
        <v>82427.08</v>
      </c>
      <c r="P103" s="125">
        <f>Valores!$D$5</f>
        <v>42317.14</v>
      </c>
      <c r="Q103" s="125">
        <v>0</v>
      </c>
      <c r="R103" s="125">
        <f>IF($F$4="NO",Valores!$C$43,Valores!$C$43/2)</f>
        <v>26083.37</v>
      </c>
      <c r="S103" s="125">
        <f>Valores!$C$20</f>
        <v>38971.76</v>
      </c>
      <c r="T103" s="125">
        <f t="shared" si="19"/>
        <v>38971.76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Valores!$C$96</f>
        <v>57944.18</v>
      </c>
      <c r="AA103" s="125">
        <f>Valores!$C$25</f>
        <v>1730.69</v>
      </c>
      <c r="AB103" s="214">
        <v>0</v>
      </c>
      <c r="AC103" s="125">
        <f t="shared" si="13"/>
        <v>0</v>
      </c>
      <c r="AD103" s="125">
        <f>Valores!$C$26</f>
        <v>1730.69</v>
      </c>
      <c r="AE103" s="192">
        <v>0</v>
      </c>
      <c r="AF103" s="125">
        <f>ROUND(AE103*Valores!$C$2,2)</f>
        <v>0</v>
      </c>
      <c r="AG103" s="125">
        <f>ROUND(IF($F$4="NO",Valores!$C$64,Valores!$C$64/2),2)</f>
        <v>19786.28</v>
      </c>
      <c r="AH103" s="125">
        <f>SUM(F103,H103,J103,L103,M103,N103,O103,P103,Q103,R103,T103,U103,V103,X103,Y103,Z103,AA103,AC103,AD103,AF103,AG103)*Valores!$C$104</f>
        <v>51231.31</v>
      </c>
      <c r="AI103" s="125">
        <f t="shared" si="16"/>
        <v>563544.4099999999</v>
      </c>
      <c r="AJ103" s="125">
        <f>Valores!$C$31</f>
        <v>35000</v>
      </c>
      <c r="AK103" s="125">
        <v>0</v>
      </c>
      <c r="AL103" s="125">
        <f>Valores!$C$89</f>
        <v>0</v>
      </c>
      <c r="AM103" s="125">
        <f>Valores!C$39*B103</f>
        <v>0</v>
      </c>
      <c r="AN103" s="125">
        <f>IF($F$3="NO",0,Valores!$C$57)</f>
        <v>0</v>
      </c>
      <c r="AO103" s="125">
        <f t="shared" si="14"/>
        <v>35000</v>
      </c>
      <c r="AP103" s="125">
        <f>AI103*Valores!$C$72</f>
        <v>-61989.88509999999</v>
      </c>
      <c r="AQ103" s="125">
        <f>IF(AI103&lt;Valores!$E$73,-0.02,IF(AI103&lt;Valores!$F$73,-0.03,-0.04))*AI103</f>
        <v>-11270.8882</v>
      </c>
      <c r="AR103" s="125">
        <f>AI103*Valores!$C$75</f>
        <v>-30994.942549999996</v>
      </c>
      <c r="AS103" s="125">
        <f>Valores!$C$102</f>
        <v>-1270.16</v>
      </c>
      <c r="AT103" s="125">
        <f>IF($F$5=0,Valores!$C$103,(Valores!$C$103+$F$5*(Valores!$C$103)))</f>
        <v>-11714</v>
      </c>
      <c r="AU103" s="125">
        <f t="shared" si="17"/>
        <v>481304.5341499999</v>
      </c>
      <c r="AV103" s="125">
        <f t="shared" si="11"/>
        <v>-61989.88509999999</v>
      </c>
      <c r="AW103" s="125">
        <f t="shared" si="18"/>
        <v>-11270.8882</v>
      </c>
      <c r="AX103" s="125">
        <f>AI103*Valores!$C$76</f>
        <v>-15215.699069999997</v>
      </c>
      <c r="AY103" s="125">
        <f>AI103*Valores!$C$77</f>
        <v>-1690.6332299999997</v>
      </c>
      <c r="AZ103" s="125">
        <f t="shared" si="15"/>
        <v>508377.3043999999</v>
      </c>
      <c r="BA103" s="125">
        <f>AI103*Valores!$C$79</f>
        <v>90167.1056</v>
      </c>
      <c r="BB103" s="125">
        <f>AI103*Valores!$C$80</f>
        <v>39448.1087</v>
      </c>
      <c r="BC103" s="125">
        <f>AI103*Valores!$C$81</f>
        <v>5635.4441</v>
      </c>
      <c r="BD103" s="125">
        <f>AI103*Valores!$C$83</f>
        <v>19724.05435</v>
      </c>
      <c r="BE103" s="125">
        <f>AI103*Valores!$C$85</f>
        <v>30431.398139999994</v>
      </c>
      <c r="BF103" s="125">
        <f>AI103*Valores!$C$84</f>
        <v>3381.2664599999994</v>
      </c>
      <c r="BG103" s="126"/>
      <c r="BH103" s="126">
        <v>30</v>
      </c>
      <c r="BI103" s="123" t="s">
        <v>4</v>
      </c>
    </row>
    <row r="104" spans="1:61" s="110" customFormat="1" ht="11.25" customHeight="1">
      <c r="A104" s="123" t="s">
        <v>293</v>
      </c>
      <c r="B104" s="123">
        <v>1</v>
      </c>
      <c r="C104" s="126">
        <v>97</v>
      </c>
      <c r="D104" s="124" t="s">
        <v>294</v>
      </c>
      <c r="E104" s="192">
        <v>45</v>
      </c>
      <c r="F104" s="125">
        <f>ROUND(E104*Valores!$C$2,2)</f>
        <v>3725.1</v>
      </c>
      <c r="G104" s="192">
        <v>1502</v>
      </c>
      <c r="H104" s="125">
        <f>ROUND(G104*Valores!$C$2,2)</f>
        <v>124335.56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48278.95</v>
      </c>
      <c r="N104" s="125">
        <f t="shared" si="12"/>
        <v>0</v>
      </c>
      <c r="O104" s="125">
        <f>Valores!$C$14</f>
        <v>82427.08</v>
      </c>
      <c r="P104" s="125">
        <f>Valores!$D$5</f>
        <v>42317.14</v>
      </c>
      <c r="Q104" s="125">
        <v>0</v>
      </c>
      <c r="R104" s="125">
        <f>IF($F$4="NO",Valores!$C$43,Valores!$C$43/2)</f>
        <v>26083.37</v>
      </c>
      <c r="S104" s="125">
        <f>Valores!$C$20</f>
        <v>38971.76</v>
      </c>
      <c r="T104" s="125">
        <f t="shared" si="19"/>
        <v>38971.76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Valores!$C$96</f>
        <v>57944.18</v>
      </c>
      <c r="AA104" s="125">
        <f>Valores!$C$25</f>
        <v>1730.69</v>
      </c>
      <c r="AB104" s="214">
        <v>0</v>
      </c>
      <c r="AC104" s="125">
        <f t="shared" si="13"/>
        <v>0</v>
      </c>
      <c r="AD104" s="125">
        <f>Valores!$C$26</f>
        <v>1730.69</v>
      </c>
      <c r="AE104" s="192">
        <v>0</v>
      </c>
      <c r="AF104" s="125">
        <f>ROUND(AE104*Valores!$C$2,2)</f>
        <v>0</v>
      </c>
      <c r="AG104" s="125">
        <f>ROUND(IF($F$4="NO",Valores!$C$64,Valores!$C$64/2),2)</f>
        <v>19786.28</v>
      </c>
      <c r="AH104" s="125">
        <f>SUM(F104,H104,J104,L104,M104,N104,O104,P104,Q104,R104,T104,U104,V104,X104,Y104,Z104,AA104,AC104,AD104,AF104,AG104)*Valores!$C$104</f>
        <v>44733.08000000001</v>
      </c>
      <c r="AI104" s="125">
        <f t="shared" si="16"/>
        <v>492063.88000000006</v>
      </c>
      <c r="AJ104" s="125">
        <f>Valores!$C$31</f>
        <v>35000</v>
      </c>
      <c r="AK104" s="125">
        <v>0</v>
      </c>
      <c r="AL104" s="125">
        <f>Valores!$C$89</f>
        <v>0</v>
      </c>
      <c r="AM104" s="125">
        <f>Valores!C$39*B104</f>
        <v>0</v>
      </c>
      <c r="AN104" s="125">
        <f>IF($F$3="NO",0,Valores!$C$57)</f>
        <v>0</v>
      </c>
      <c r="AO104" s="125">
        <f t="shared" si="14"/>
        <v>35000</v>
      </c>
      <c r="AP104" s="125">
        <f>AI104*Valores!$C$72</f>
        <v>-54127.02680000001</v>
      </c>
      <c r="AQ104" s="125">
        <f>IF(AI104&lt;Valores!$E$73,-0.02,IF(AI104&lt;Valores!$F$73,-0.03,-0.04))*AI104</f>
        <v>-9841.277600000001</v>
      </c>
      <c r="AR104" s="125">
        <f>AI104*Valores!$C$75</f>
        <v>-27063.513400000003</v>
      </c>
      <c r="AS104" s="125">
        <f>Valores!$C$102</f>
        <v>-1270.16</v>
      </c>
      <c r="AT104" s="125">
        <f>IF($F$5=0,Valores!$C$103,(Valores!$C$103+$F$5*(Valores!$C$103)))</f>
        <v>-11714</v>
      </c>
      <c r="AU104" s="125">
        <f t="shared" si="17"/>
        <v>423047.9022</v>
      </c>
      <c r="AV104" s="125">
        <f t="shared" si="11"/>
        <v>-54127.02680000001</v>
      </c>
      <c r="AW104" s="125">
        <f t="shared" si="18"/>
        <v>-9841.277600000001</v>
      </c>
      <c r="AX104" s="125">
        <f>AI104*Valores!$C$76</f>
        <v>-13285.724760000001</v>
      </c>
      <c r="AY104" s="125">
        <f>AI104*Valores!$C$77</f>
        <v>-1476.1916400000002</v>
      </c>
      <c r="AZ104" s="125">
        <f t="shared" si="15"/>
        <v>448333.6592000001</v>
      </c>
      <c r="BA104" s="125">
        <f>AI104*Valores!$C$79</f>
        <v>78730.22080000001</v>
      </c>
      <c r="BB104" s="125">
        <f>AI104*Valores!$C$80</f>
        <v>34444.471600000004</v>
      </c>
      <c r="BC104" s="125">
        <f>AI104*Valores!$C$81</f>
        <v>4920.638800000001</v>
      </c>
      <c r="BD104" s="125">
        <f>AI104*Valores!$C$83</f>
        <v>17222.235800000002</v>
      </c>
      <c r="BE104" s="125">
        <f>AI104*Valores!$C$85</f>
        <v>26571.449520000002</v>
      </c>
      <c r="BF104" s="125">
        <f>AI104*Valores!$C$84</f>
        <v>2952.3832800000005</v>
      </c>
      <c r="BG104" s="126"/>
      <c r="BH104" s="126"/>
      <c r="BI104" s="123" t="s">
        <v>4</v>
      </c>
    </row>
    <row r="105" spans="1:61" s="110" customFormat="1" ht="11.25" customHeight="1">
      <c r="A105" s="123" t="s">
        <v>295</v>
      </c>
      <c r="B105" s="123">
        <v>1</v>
      </c>
      <c r="C105" s="126">
        <v>98</v>
      </c>
      <c r="D105" s="124" t="s">
        <v>296</v>
      </c>
      <c r="E105" s="192">
        <v>61</v>
      </c>
      <c r="F105" s="125">
        <f>ROUND(E105*Valores!$C$2,2)</f>
        <v>5049.58</v>
      </c>
      <c r="G105" s="192">
        <v>2114</v>
      </c>
      <c r="H105" s="125">
        <f>ROUND(G105*Valores!$C$2,2)</f>
        <v>174996.92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61275.41</v>
      </c>
      <c r="N105" s="125">
        <f t="shared" si="12"/>
        <v>0</v>
      </c>
      <c r="O105" s="125">
        <f>Valores!$C$14</f>
        <v>82427.08</v>
      </c>
      <c r="P105" s="125">
        <f>Valores!$D$5</f>
        <v>42317.14</v>
      </c>
      <c r="Q105" s="125">
        <v>0</v>
      </c>
      <c r="R105" s="125">
        <f>IF($F$4="NO",Valores!$C$43,Valores!$C$43/2)</f>
        <v>26083.37</v>
      </c>
      <c r="S105" s="125">
        <f>Valores!$C$20</f>
        <v>38971.76</v>
      </c>
      <c r="T105" s="125">
        <f t="shared" si="19"/>
        <v>38971.76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Valores!$C$96</f>
        <v>57944.18</v>
      </c>
      <c r="AA105" s="125">
        <f>Valores!$C$25</f>
        <v>1730.69</v>
      </c>
      <c r="AB105" s="214">
        <v>0</v>
      </c>
      <c r="AC105" s="125">
        <f t="shared" si="13"/>
        <v>0</v>
      </c>
      <c r="AD105" s="125">
        <f>Valores!$C$26</f>
        <v>1730.69</v>
      </c>
      <c r="AE105" s="192">
        <v>0</v>
      </c>
      <c r="AF105" s="125">
        <f>ROUND(AE105*Valores!$C$2,2)</f>
        <v>0</v>
      </c>
      <c r="AG105" s="125">
        <f>ROUND(IF($F$4="NO",Valores!$C$64,Valores!$C$64/2),2)</f>
        <v>19786.28</v>
      </c>
      <c r="AH105" s="125">
        <f>SUM(F105,H105,J105,L105,M105,N105,O105,P105,Q105,R105,T105,U105,V105,X105,Y105,Z105,AA105,AC105,AD105,AF105,AG105)*Valores!$C$104</f>
        <v>51231.31</v>
      </c>
      <c r="AI105" s="125">
        <f t="shared" si="16"/>
        <v>563544.4099999999</v>
      </c>
      <c r="AJ105" s="125">
        <f>Valores!$C$31</f>
        <v>35000</v>
      </c>
      <c r="AK105" s="125">
        <v>0</v>
      </c>
      <c r="AL105" s="125">
        <f>Valores!$C$89</f>
        <v>0</v>
      </c>
      <c r="AM105" s="125">
        <f>Valores!C$39*B105</f>
        <v>0</v>
      </c>
      <c r="AN105" s="125">
        <f>IF($F$3="NO",0,Valores!$C$57)</f>
        <v>0</v>
      </c>
      <c r="AO105" s="125">
        <f t="shared" si="14"/>
        <v>35000</v>
      </c>
      <c r="AP105" s="125">
        <f>AI105*Valores!$C$72</f>
        <v>-61989.88509999999</v>
      </c>
      <c r="AQ105" s="125">
        <f>IF(AI105&lt;Valores!$E$73,-0.02,IF(AI105&lt;Valores!$F$73,-0.03,-0.04))*AI105</f>
        <v>-11270.8882</v>
      </c>
      <c r="AR105" s="125">
        <f>AI105*Valores!$C$75</f>
        <v>-30994.942549999996</v>
      </c>
      <c r="AS105" s="125">
        <f>Valores!$C$102</f>
        <v>-1270.16</v>
      </c>
      <c r="AT105" s="125">
        <f>IF($F$5=0,Valores!$C$103,(Valores!$C$103+$F$5*(Valores!$C$103)))</f>
        <v>-11714</v>
      </c>
      <c r="AU105" s="125">
        <f t="shared" si="17"/>
        <v>481304.5341499999</v>
      </c>
      <c r="AV105" s="125">
        <f t="shared" si="11"/>
        <v>-61989.88509999999</v>
      </c>
      <c r="AW105" s="125">
        <f t="shared" si="18"/>
        <v>-11270.8882</v>
      </c>
      <c r="AX105" s="125">
        <f>AI105*Valores!$C$76</f>
        <v>-15215.699069999997</v>
      </c>
      <c r="AY105" s="125">
        <f>AI105*Valores!$C$77</f>
        <v>-1690.6332299999997</v>
      </c>
      <c r="AZ105" s="125">
        <f t="shared" si="15"/>
        <v>508377.3043999999</v>
      </c>
      <c r="BA105" s="125">
        <f>AI105*Valores!$C$79</f>
        <v>90167.1056</v>
      </c>
      <c r="BB105" s="125">
        <f>AI105*Valores!$C$80</f>
        <v>39448.1087</v>
      </c>
      <c r="BC105" s="125">
        <f>AI105*Valores!$C$81</f>
        <v>5635.4441</v>
      </c>
      <c r="BD105" s="125">
        <f>AI105*Valores!$C$83</f>
        <v>19724.05435</v>
      </c>
      <c r="BE105" s="125">
        <f>AI105*Valores!$C$85</f>
        <v>30431.398139999994</v>
      </c>
      <c r="BF105" s="125">
        <f>AI105*Valores!$C$84</f>
        <v>3381.2664599999994</v>
      </c>
      <c r="BG105" s="126"/>
      <c r="BH105" s="126">
        <v>30</v>
      </c>
      <c r="BI105" s="123" t="s">
        <v>4</v>
      </c>
    </row>
    <row r="106" spans="1:61" s="110" customFormat="1" ht="11.25" customHeight="1">
      <c r="A106" s="123" t="s">
        <v>297</v>
      </c>
      <c r="B106" s="123">
        <v>1</v>
      </c>
      <c r="C106" s="126">
        <v>99</v>
      </c>
      <c r="D106" s="124" t="s">
        <v>298</v>
      </c>
      <c r="E106" s="192">
        <v>59</v>
      </c>
      <c r="F106" s="125">
        <f>ROUND(E106*Valores!$C$2,2)</f>
        <v>4884.02</v>
      </c>
      <c r="G106" s="192">
        <v>2013</v>
      </c>
      <c r="H106" s="125">
        <f>ROUND(G106*Valores!$C$2,2)</f>
        <v>166636.14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59143.82</v>
      </c>
      <c r="N106" s="125">
        <f t="shared" si="12"/>
        <v>0</v>
      </c>
      <c r="O106" s="125">
        <f>Valores!$C$14</f>
        <v>82427.08</v>
      </c>
      <c r="P106" s="125">
        <f>Valores!$D$5</f>
        <v>42317.14</v>
      </c>
      <c r="Q106" s="125">
        <v>0</v>
      </c>
      <c r="R106" s="125">
        <f>IF($F$4="NO",Valores!$C$43,Valores!$C$43/2)</f>
        <v>26083.37</v>
      </c>
      <c r="S106" s="125">
        <f>Valores!$C$20</f>
        <v>38971.76</v>
      </c>
      <c r="T106" s="125">
        <f t="shared" si="19"/>
        <v>38971.76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Valores!$C$96</f>
        <v>57944.18</v>
      </c>
      <c r="AA106" s="125">
        <f>Valores!$C$25</f>
        <v>1730.69</v>
      </c>
      <c r="AB106" s="214">
        <v>0</v>
      </c>
      <c r="AC106" s="125">
        <f t="shared" si="13"/>
        <v>0</v>
      </c>
      <c r="AD106" s="125">
        <f>Valores!$C$26</f>
        <v>1730.69</v>
      </c>
      <c r="AE106" s="192">
        <v>0</v>
      </c>
      <c r="AF106" s="125">
        <f>ROUND(AE106*Valores!$C$2,2)</f>
        <v>0</v>
      </c>
      <c r="AG106" s="125">
        <f>ROUND(IF($F$4="NO",Valores!$C$64,Valores!$C$64/2),2)</f>
        <v>19786.28</v>
      </c>
      <c r="AH106" s="125">
        <f>SUM(F106,H106,J106,L106,M106,N106,O106,P106,Q106,R106,T106,U106,V106,X106,Y106,Z106,AA106,AC106,AD106,AF106,AG106)*Valores!$C$104</f>
        <v>50165.51700000001</v>
      </c>
      <c r="AI106" s="125">
        <f t="shared" si="16"/>
        <v>551820.687</v>
      </c>
      <c r="AJ106" s="125">
        <f>Valores!$C$31</f>
        <v>35000</v>
      </c>
      <c r="AK106" s="125">
        <v>0</v>
      </c>
      <c r="AL106" s="125">
        <f>Valores!$C$89</f>
        <v>0</v>
      </c>
      <c r="AM106" s="125">
        <f>Valores!C$39*B106</f>
        <v>0</v>
      </c>
      <c r="AN106" s="125">
        <f>IF($F$3="NO",0,Valores!$C$57)</f>
        <v>0</v>
      </c>
      <c r="AO106" s="125">
        <f t="shared" si="14"/>
        <v>35000</v>
      </c>
      <c r="AP106" s="125">
        <f>AI106*Valores!$C$72</f>
        <v>-60700.275570000005</v>
      </c>
      <c r="AQ106" s="125">
        <f>IF(AI106&lt;Valores!$E$73,-0.02,IF(AI106&lt;Valores!$F$73,-0.03,-0.04))*AI106</f>
        <v>-11036.413740000002</v>
      </c>
      <c r="AR106" s="125">
        <f>AI106*Valores!$C$75</f>
        <v>-30350.137785000003</v>
      </c>
      <c r="AS106" s="125">
        <f>Valores!$C$102</f>
        <v>-1270.16</v>
      </c>
      <c r="AT106" s="125">
        <f>IF($F$5=0,Valores!$C$103,(Valores!$C$103+$F$5*(Valores!$C$103)))</f>
        <v>-11714</v>
      </c>
      <c r="AU106" s="125">
        <f t="shared" si="17"/>
        <v>471749.69990500004</v>
      </c>
      <c r="AV106" s="125">
        <f t="shared" si="11"/>
        <v>-60700.275570000005</v>
      </c>
      <c r="AW106" s="125">
        <f t="shared" si="18"/>
        <v>-11036.413740000002</v>
      </c>
      <c r="AX106" s="125">
        <f>AI106*Valores!$C$76</f>
        <v>-14899.158549000002</v>
      </c>
      <c r="AY106" s="125">
        <f>AI106*Valores!$C$77</f>
        <v>-1655.4620610000002</v>
      </c>
      <c r="AZ106" s="125">
        <f t="shared" si="15"/>
        <v>498529.37708</v>
      </c>
      <c r="BA106" s="125">
        <f>AI106*Valores!$C$79</f>
        <v>88291.30992000001</v>
      </c>
      <c r="BB106" s="125">
        <f>AI106*Valores!$C$80</f>
        <v>38627.448090000005</v>
      </c>
      <c r="BC106" s="125">
        <f>AI106*Valores!$C$81</f>
        <v>5518.206870000001</v>
      </c>
      <c r="BD106" s="125">
        <f>AI106*Valores!$C$83</f>
        <v>19313.724045000003</v>
      </c>
      <c r="BE106" s="125">
        <f>AI106*Valores!$C$85</f>
        <v>29798.317098000003</v>
      </c>
      <c r="BF106" s="125">
        <f>AI106*Valores!$C$84</f>
        <v>3310.9241220000004</v>
      </c>
      <c r="BG106" s="126"/>
      <c r="BH106" s="126">
        <v>30</v>
      </c>
      <c r="BI106" s="123" t="s">
        <v>4</v>
      </c>
    </row>
    <row r="107" spans="1:61" s="110" customFormat="1" ht="11.25" customHeight="1">
      <c r="A107" s="123" t="s">
        <v>299</v>
      </c>
      <c r="B107" s="123">
        <v>1</v>
      </c>
      <c r="C107" s="126">
        <v>100</v>
      </c>
      <c r="D107" s="124" t="s">
        <v>300</v>
      </c>
      <c r="E107" s="192">
        <v>56</v>
      </c>
      <c r="F107" s="125">
        <f>ROUND(E107*Valores!$C$2,2)</f>
        <v>4635.68</v>
      </c>
      <c r="G107" s="192">
        <v>1720</v>
      </c>
      <c r="H107" s="125">
        <f>ROUND(G107*Valores!$C$2,2)</f>
        <v>142381.6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53018.1</v>
      </c>
      <c r="N107" s="125">
        <f t="shared" si="12"/>
        <v>0</v>
      </c>
      <c r="O107" s="125">
        <f>Valores!$C$14</f>
        <v>82427.08</v>
      </c>
      <c r="P107" s="125">
        <f>Valores!$D$5</f>
        <v>42317.14</v>
      </c>
      <c r="Q107" s="125">
        <v>0</v>
      </c>
      <c r="R107" s="125">
        <f>IF($F$4="NO",Valores!$C$43,Valores!$C$43/2)</f>
        <v>26083.37</v>
      </c>
      <c r="S107" s="125">
        <f>Valores!$C$20</f>
        <v>38971.76</v>
      </c>
      <c r="T107" s="125">
        <f t="shared" si="19"/>
        <v>38971.76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Valores!$C$96</f>
        <v>57944.18</v>
      </c>
      <c r="AA107" s="125">
        <f>Valores!$C$25</f>
        <v>1730.69</v>
      </c>
      <c r="AB107" s="214">
        <v>0</v>
      </c>
      <c r="AC107" s="125">
        <f t="shared" si="13"/>
        <v>0</v>
      </c>
      <c r="AD107" s="125">
        <f>Valores!$C$26</f>
        <v>1730.69</v>
      </c>
      <c r="AE107" s="192">
        <v>0</v>
      </c>
      <c r="AF107" s="125">
        <f>ROUND(AE107*Valores!$C$2,2)</f>
        <v>0</v>
      </c>
      <c r="AG107" s="125">
        <f>ROUND(IF($F$4="NO",Valores!$C$64,Valores!$C$64/2),2)</f>
        <v>19786.28</v>
      </c>
      <c r="AH107" s="125">
        <f>SUM(F107,H107,J107,L107,M107,N107,O107,P107,Q107,R107,T107,U107,V107,X107,Y107,Z107,AA107,AC107,AD107,AF107,AG107)*Valores!$C$104</f>
        <v>47102.65700000001</v>
      </c>
      <c r="AI107" s="125">
        <f t="shared" si="16"/>
        <v>518129.2270000001</v>
      </c>
      <c r="AJ107" s="125">
        <f>Valores!$C$31</f>
        <v>35000</v>
      </c>
      <c r="AK107" s="125">
        <v>0</v>
      </c>
      <c r="AL107" s="125">
        <f>Valores!$C$89</f>
        <v>0</v>
      </c>
      <c r="AM107" s="125">
        <f>Valores!C$39*B107</f>
        <v>0</v>
      </c>
      <c r="AN107" s="125">
        <f>IF($F$3="NO",0,Valores!$C$57)</f>
        <v>0</v>
      </c>
      <c r="AO107" s="125">
        <f t="shared" si="14"/>
        <v>35000</v>
      </c>
      <c r="AP107" s="125">
        <f>AI107*Valores!$C$72</f>
        <v>-56994.21497000001</v>
      </c>
      <c r="AQ107" s="125">
        <f>IF(AI107&lt;Valores!$E$73,-0.02,IF(AI107&lt;Valores!$F$73,-0.03,-0.04))*AI107</f>
        <v>-10362.584540000002</v>
      </c>
      <c r="AR107" s="125">
        <f>AI107*Valores!$C$75</f>
        <v>-28497.107485000004</v>
      </c>
      <c r="AS107" s="125">
        <f>Valores!$C$102</f>
        <v>-1270.16</v>
      </c>
      <c r="AT107" s="125">
        <f>IF($F$5=0,Valores!$C$103,(Valores!$C$103+$F$5*(Valores!$C$103)))</f>
        <v>-11714</v>
      </c>
      <c r="AU107" s="125">
        <f t="shared" si="17"/>
        <v>444291.16000500007</v>
      </c>
      <c r="AV107" s="125">
        <f t="shared" si="11"/>
        <v>-56994.21497000001</v>
      </c>
      <c r="AW107" s="125">
        <f t="shared" si="18"/>
        <v>-10362.584540000002</v>
      </c>
      <c r="AX107" s="125">
        <f>AI107*Valores!$C$76</f>
        <v>-13989.489129000001</v>
      </c>
      <c r="AY107" s="125">
        <f>AI107*Valores!$C$77</f>
        <v>-1554.3876810000002</v>
      </c>
      <c r="AZ107" s="125">
        <f t="shared" si="15"/>
        <v>470228.5506800001</v>
      </c>
      <c r="BA107" s="125">
        <f>AI107*Valores!$C$79</f>
        <v>82900.67632000001</v>
      </c>
      <c r="BB107" s="125">
        <f>AI107*Valores!$C$80</f>
        <v>36269.04589000001</v>
      </c>
      <c r="BC107" s="125">
        <f>AI107*Valores!$C$81</f>
        <v>5181.292270000001</v>
      </c>
      <c r="BD107" s="125">
        <f>AI107*Valores!$C$83</f>
        <v>18134.522945000004</v>
      </c>
      <c r="BE107" s="125">
        <f>AI107*Valores!$C$85</f>
        <v>27978.978258000003</v>
      </c>
      <c r="BF107" s="125">
        <f>AI107*Valores!$C$84</f>
        <v>3108.7753620000003</v>
      </c>
      <c r="BG107" s="126"/>
      <c r="BH107" s="126">
        <v>30</v>
      </c>
      <c r="BI107" s="123" t="s">
        <v>4</v>
      </c>
    </row>
    <row r="108" spans="1:61" s="110" customFormat="1" ht="11.25" customHeight="1">
      <c r="A108" s="123" t="s">
        <v>301</v>
      </c>
      <c r="B108" s="123">
        <v>1</v>
      </c>
      <c r="C108" s="126">
        <v>101</v>
      </c>
      <c r="D108" s="124" t="s">
        <v>302</v>
      </c>
      <c r="E108" s="192">
        <v>45</v>
      </c>
      <c r="F108" s="125">
        <f>ROUND(E108*Valores!$C$2,2)</f>
        <v>3725.1</v>
      </c>
      <c r="G108" s="192">
        <v>1502</v>
      </c>
      <c r="H108" s="125">
        <f>ROUND(G108*Valores!$C$2,2)</f>
        <v>124335.56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48278.95</v>
      </c>
      <c r="N108" s="125">
        <f t="shared" si="12"/>
        <v>0</v>
      </c>
      <c r="O108" s="125">
        <f>Valores!$C$14</f>
        <v>82427.08</v>
      </c>
      <c r="P108" s="125">
        <f>Valores!$D$5</f>
        <v>42317.14</v>
      </c>
      <c r="Q108" s="125">
        <v>0</v>
      </c>
      <c r="R108" s="125">
        <f>IF($F$4="NO",Valores!$C$43,Valores!$C$43/2)</f>
        <v>26083.37</v>
      </c>
      <c r="S108" s="125">
        <f>Valores!$C$20</f>
        <v>38971.76</v>
      </c>
      <c r="T108" s="125">
        <f t="shared" si="19"/>
        <v>38971.76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Valores!$C$96</f>
        <v>57944.18</v>
      </c>
      <c r="AA108" s="125">
        <f>Valores!$C$25</f>
        <v>1730.69</v>
      </c>
      <c r="AB108" s="214">
        <v>0</v>
      </c>
      <c r="AC108" s="125">
        <f t="shared" si="13"/>
        <v>0</v>
      </c>
      <c r="AD108" s="125">
        <f>Valores!$C$26</f>
        <v>1730.69</v>
      </c>
      <c r="AE108" s="192">
        <v>0</v>
      </c>
      <c r="AF108" s="125">
        <f>ROUND(AE108*Valores!$C$2,2)</f>
        <v>0</v>
      </c>
      <c r="AG108" s="125">
        <f>ROUND(IF($F$4="NO",Valores!$C$64,Valores!$C$64/2),2)</f>
        <v>19786.28</v>
      </c>
      <c r="AH108" s="125">
        <f>SUM(F108,H108,J108,L108,M108,N108,O108,P108,Q108,R108,T108,U108,V108,X108,Y108,Z108,AA108,AC108,AD108,AF108,AG108)*Valores!$C$104</f>
        <v>44733.08000000001</v>
      </c>
      <c r="AI108" s="125">
        <f t="shared" si="16"/>
        <v>492063.88000000006</v>
      </c>
      <c r="AJ108" s="125">
        <f>Valores!$C$31</f>
        <v>35000</v>
      </c>
      <c r="AK108" s="125">
        <v>0</v>
      </c>
      <c r="AL108" s="125">
        <f>Valores!$C$89</f>
        <v>0</v>
      </c>
      <c r="AM108" s="125">
        <f>Valores!C$39*B108</f>
        <v>0</v>
      </c>
      <c r="AN108" s="125">
        <f>IF($F$3="NO",0,Valores!$C$57)</f>
        <v>0</v>
      </c>
      <c r="AO108" s="125">
        <f t="shared" si="14"/>
        <v>35000</v>
      </c>
      <c r="AP108" s="125">
        <f>AI108*Valores!$C$72</f>
        <v>-54127.02680000001</v>
      </c>
      <c r="AQ108" s="125">
        <f>IF(AI108&lt;Valores!$E$73,-0.02,IF(AI108&lt;Valores!$F$73,-0.03,-0.04))*AI108</f>
        <v>-9841.277600000001</v>
      </c>
      <c r="AR108" s="125">
        <f>AI108*Valores!$C$75</f>
        <v>-27063.513400000003</v>
      </c>
      <c r="AS108" s="125">
        <f>Valores!$C$102</f>
        <v>-1270.16</v>
      </c>
      <c r="AT108" s="125">
        <f>IF($F$5=0,Valores!$C$103,(Valores!$C$103+$F$5*(Valores!$C$103)))</f>
        <v>-11714</v>
      </c>
      <c r="AU108" s="125">
        <f t="shared" si="17"/>
        <v>423047.9022</v>
      </c>
      <c r="AV108" s="125">
        <f t="shared" si="11"/>
        <v>-54127.02680000001</v>
      </c>
      <c r="AW108" s="125">
        <f t="shared" si="18"/>
        <v>-9841.277600000001</v>
      </c>
      <c r="AX108" s="125">
        <f>AI108*Valores!$C$76</f>
        <v>-13285.724760000001</v>
      </c>
      <c r="AY108" s="125">
        <f>AI108*Valores!$C$77</f>
        <v>-1476.1916400000002</v>
      </c>
      <c r="AZ108" s="125">
        <f t="shared" si="15"/>
        <v>448333.6592000001</v>
      </c>
      <c r="BA108" s="125">
        <f>AI108*Valores!$C$79</f>
        <v>78730.22080000001</v>
      </c>
      <c r="BB108" s="125">
        <f>AI108*Valores!$C$80</f>
        <v>34444.471600000004</v>
      </c>
      <c r="BC108" s="125">
        <f>AI108*Valores!$C$81</f>
        <v>4920.638800000001</v>
      </c>
      <c r="BD108" s="125">
        <f>AI108*Valores!$C$83</f>
        <v>17222.235800000002</v>
      </c>
      <c r="BE108" s="125">
        <f>AI108*Valores!$C$85</f>
        <v>26571.449520000002</v>
      </c>
      <c r="BF108" s="125">
        <f>AI108*Valores!$C$84</f>
        <v>2952.3832800000005</v>
      </c>
      <c r="BG108" s="126"/>
      <c r="BH108" s="126">
        <v>30</v>
      </c>
      <c r="BI108" s="123" t="s">
        <v>4</v>
      </c>
    </row>
    <row r="109" spans="1:61" s="110" customFormat="1" ht="11.25" customHeight="1">
      <c r="A109" s="123" t="s">
        <v>303</v>
      </c>
      <c r="B109" s="123">
        <v>1</v>
      </c>
      <c r="C109" s="126">
        <v>102</v>
      </c>
      <c r="D109" s="124" t="s">
        <v>304</v>
      </c>
      <c r="E109" s="192">
        <v>45</v>
      </c>
      <c r="F109" s="125">
        <f>ROUND(E109*Valores!$C$2,2)</f>
        <v>3725.1</v>
      </c>
      <c r="G109" s="192">
        <v>1139</v>
      </c>
      <c r="H109" s="125">
        <f>ROUND(G109*Valores!$C$2,2)</f>
        <v>94286.42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40766.66</v>
      </c>
      <c r="N109" s="125">
        <f t="shared" si="12"/>
        <v>0</v>
      </c>
      <c r="O109" s="125">
        <f>Valores!$C$14</f>
        <v>82427.08</v>
      </c>
      <c r="P109" s="125">
        <f>Valores!$D$5</f>
        <v>42317.14</v>
      </c>
      <c r="Q109" s="125">
        <v>0</v>
      </c>
      <c r="R109" s="125">
        <f>IF($F$4="NO",Valores!$C$43,Valores!$C$43/2)</f>
        <v>26083.37</v>
      </c>
      <c r="S109" s="125">
        <f>Valores!$C$20</f>
        <v>38971.76</v>
      </c>
      <c r="T109" s="125">
        <f t="shared" si="19"/>
        <v>38971.76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Valores!$C$96</f>
        <v>57944.18</v>
      </c>
      <c r="AA109" s="125">
        <f>Valores!$C$25</f>
        <v>1730.69</v>
      </c>
      <c r="AB109" s="214">
        <v>0</v>
      </c>
      <c r="AC109" s="125">
        <f t="shared" si="13"/>
        <v>0</v>
      </c>
      <c r="AD109" s="125">
        <f>Valores!$C$26</f>
        <v>1730.69</v>
      </c>
      <c r="AE109" s="192">
        <v>0</v>
      </c>
      <c r="AF109" s="125">
        <f>ROUND(AE109*Valores!$C$2,2)</f>
        <v>0</v>
      </c>
      <c r="AG109" s="125">
        <f>ROUND(IF($F$4="NO",Valores!$C$64,Valores!$C$64/2),2)</f>
        <v>19786.28</v>
      </c>
      <c r="AH109" s="125">
        <f>SUM(F109,H109,J109,L109,M109,N109,O109,P109,Q109,R109,T109,U109,V109,X109,Y109,Z109,AA109,AC109,AD109,AF109,AG109)*Valores!$C$104</f>
        <v>40976.937000000005</v>
      </c>
      <c r="AI109" s="125">
        <f t="shared" si="16"/>
        <v>450746.30700000003</v>
      </c>
      <c r="AJ109" s="125">
        <f>Valores!$C$31</f>
        <v>35000</v>
      </c>
      <c r="AK109" s="125">
        <v>0</v>
      </c>
      <c r="AL109" s="125">
        <f>Valores!$C$89</f>
        <v>0</v>
      </c>
      <c r="AM109" s="125">
        <f>Valores!C$39*B109</f>
        <v>0</v>
      </c>
      <c r="AN109" s="125">
        <f>IF($F$3="NO",0,Valores!$C$57)</f>
        <v>0</v>
      </c>
      <c r="AO109" s="125">
        <f t="shared" si="14"/>
        <v>35000</v>
      </c>
      <c r="AP109" s="125">
        <f>AI109*Valores!$C$72</f>
        <v>-49582.09377000001</v>
      </c>
      <c r="AQ109" s="125">
        <f>IF(AI109&lt;Valores!$E$73,-0.02,IF(AI109&lt;Valores!$F$73,-0.03,-0.04))*AI109</f>
        <v>-9014.926140000001</v>
      </c>
      <c r="AR109" s="125">
        <f>AI109*Valores!$C$75</f>
        <v>-24791.046885000003</v>
      </c>
      <c r="AS109" s="125">
        <f>Valores!$C$102</f>
        <v>-1270.16</v>
      </c>
      <c r="AT109" s="125">
        <f>IF($F$5=0,Valores!$C$103,(Valores!$C$103+$F$5*(Valores!$C$103)))</f>
        <v>-11714</v>
      </c>
      <c r="AU109" s="125">
        <f t="shared" si="17"/>
        <v>389374.080205</v>
      </c>
      <c r="AV109" s="125">
        <f t="shared" si="11"/>
        <v>-49582.09377000001</v>
      </c>
      <c r="AW109" s="125">
        <f t="shared" si="18"/>
        <v>-9014.926140000001</v>
      </c>
      <c r="AX109" s="125">
        <f>AI109*Valores!$C$76</f>
        <v>-12170.150289000001</v>
      </c>
      <c r="AY109" s="125">
        <f>AI109*Valores!$C$77</f>
        <v>-1352.2389210000001</v>
      </c>
      <c r="AZ109" s="125">
        <f t="shared" si="15"/>
        <v>413626.89788</v>
      </c>
      <c r="BA109" s="125">
        <f>AI109*Valores!$C$79</f>
        <v>72119.40912000001</v>
      </c>
      <c r="BB109" s="125">
        <f>AI109*Valores!$C$80</f>
        <v>31552.241490000004</v>
      </c>
      <c r="BC109" s="125">
        <f>AI109*Valores!$C$81</f>
        <v>4507.463070000001</v>
      </c>
      <c r="BD109" s="125">
        <f>AI109*Valores!$C$83</f>
        <v>15776.120745000002</v>
      </c>
      <c r="BE109" s="125">
        <f>AI109*Valores!$C$85</f>
        <v>24340.300578000002</v>
      </c>
      <c r="BF109" s="125">
        <f>AI109*Valores!$C$84</f>
        <v>2704.4778420000002</v>
      </c>
      <c r="BG109" s="126"/>
      <c r="BH109" s="126">
        <v>30</v>
      </c>
      <c r="BI109" s="123" t="s">
        <v>4</v>
      </c>
    </row>
    <row r="110" spans="1:61" s="110" customFormat="1" ht="11.25" customHeight="1">
      <c r="A110" s="123" t="s">
        <v>305</v>
      </c>
      <c r="B110" s="123">
        <v>1</v>
      </c>
      <c r="C110" s="126">
        <v>103</v>
      </c>
      <c r="D110" s="124" t="s">
        <v>306</v>
      </c>
      <c r="E110" s="192">
        <v>46</v>
      </c>
      <c r="F110" s="125">
        <f>ROUND(E110*Valores!$C$2,2)</f>
        <v>3807.88</v>
      </c>
      <c r="G110" s="192">
        <v>1102</v>
      </c>
      <c r="H110" s="125">
        <f>ROUND(G110*Valores!$C$2,2)</f>
        <v>91223.56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40021.64</v>
      </c>
      <c r="N110" s="125">
        <f t="shared" si="12"/>
        <v>0</v>
      </c>
      <c r="O110" s="125">
        <f>Valores!$C$14</f>
        <v>82427.08</v>
      </c>
      <c r="P110" s="125">
        <f>Valores!$D$5</f>
        <v>42317.14</v>
      </c>
      <c r="Q110" s="125">
        <v>0</v>
      </c>
      <c r="R110" s="125">
        <f>IF($F$4="NO",Valores!$C$43,Valores!$C$43/2)</f>
        <v>26083.37</v>
      </c>
      <c r="S110" s="125">
        <f>Valores!$C$20</f>
        <v>38971.76</v>
      </c>
      <c r="T110" s="125">
        <f t="shared" si="19"/>
        <v>38971.76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Valores!$C$96</f>
        <v>57944.18</v>
      </c>
      <c r="AA110" s="125">
        <f>Valores!$C$25</f>
        <v>1730.69</v>
      </c>
      <c r="AB110" s="214">
        <v>0</v>
      </c>
      <c r="AC110" s="125">
        <f t="shared" si="13"/>
        <v>0</v>
      </c>
      <c r="AD110" s="125">
        <f>Valores!$C$26</f>
        <v>1730.69</v>
      </c>
      <c r="AE110" s="192">
        <v>0</v>
      </c>
      <c r="AF110" s="125">
        <f>ROUND(AE110*Valores!$C$2,2)</f>
        <v>0</v>
      </c>
      <c r="AG110" s="125">
        <f>ROUND(IF($F$4="NO",Valores!$C$64,Valores!$C$64/2),2)</f>
        <v>19786.28</v>
      </c>
      <c r="AH110" s="125">
        <f>SUM(F110,H110,J110,L110,M110,N110,O110,P110,Q110,R110,T110,U110,V110,X110,Y110,Z110,AA110,AC110,AD110,AF110,AG110)*Valores!$C$104</f>
        <v>40604.427</v>
      </c>
      <c r="AI110" s="125">
        <f t="shared" si="16"/>
        <v>446648.69700000004</v>
      </c>
      <c r="AJ110" s="125">
        <f>Valores!$C$31</f>
        <v>35000</v>
      </c>
      <c r="AK110" s="125">
        <v>0</v>
      </c>
      <c r="AL110" s="125">
        <f>Valores!$C$89</f>
        <v>0</v>
      </c>
      <c r="AM110" s="125">
        <f>Valores!C$39*B110</f>
        <v>0</v>
      </c>
      <c r="AN110" s="125">
        <f>IF($F$3="NO",0,Valores!$C$57)</f>
        <v>0</v>
      </c>
      <c r="AO110" s="125">
        <f t="shared" si="14"/>
        <v>35000</v>
      </c>
      <c r="AP110" s="125">
        <f>AI110*Valores!$C$72</f>
        <v>-49131.35667000001</v>
      </c>
      <c r="AQ110" s="125">
        <f>IF(AI110&lt;Valores!$E$73,-0.02,IF(AI110&lt;Valores!$F$73,-0.03,-0.04))*AI110</f>
        <v>-8932.973940000002</v>
      </c>
      <c r="AR110" s="125">
        <f>AI110*Valores!$C$75</f>
        <v>-24565.678335000004</v>
      </c>
      <c r="AS110" s="125">
        <f>Valores!$C$102</f>
        <v>-1270.16</v>
      </c>
      <c r="AT110" s="125">
        <f>IF($F$5=0,Valores!$C$103,(Valores!$C$103+$F$5*(Valores!$C$103)))</f>
        <v>-11714</v>
      </c>
      <c r="AU110" s="125">
        <f t="shared" si="17"/>
        <v>386034.528055</v>
      </c>
      <c r="AV110" s="125">
        <f t="shared" si="11"/>
        <v>-49131.35667000001</v>
      </c>
      <c r="AW110" s="125">
        <f t="shared" si="18"/>
        <v>-8932.973940000002</v>
      </c>
      <c r="AX110" s="125">
        <f>AI110*Valores!$C$76</f>
        <v>-12059.514819000002</v>
      </c>
      <c r="AY110" s="125">
        <f>AI110*Valores!$C$77</f>
        <v>-1339.9460910000003</v>
      </c>
      <c r="AZ110" s="125">
        <f t="shared" si="15"/>
        <v>410184.90548</v>
      </c>
      <c r="BA110" s="125">
        <f>AI110*Valores!$C$79</f>
        <v>71463.79152000001</v>
      </c>
      <c r="BB110" s="125">
        <f>AI110*Valores!$C$80</f>
        <v>31265.408790000005</v>
      </c>
      <c r="BC110" s="125">
        <f>AI110*Valores!$C$81</f>
        <v>4466.486970000001</v>
      </c>
      <c r="BD110" s="125">
        <f>AI110*Valores!$C$83</f>
        <v>15632.704395000002</v>
      </c>
      <c r="BE110" s="125">
        <f>AI110*Valores!$C$85</f>
        <v>24119.029638000004</v>
      </c>
      <c r="BF110" s="125">
        <f>AI110*Valores!$C$84</f>
        <v>2679.8921820000005</v>
      </c>
      <c r="BG110" s="126"/>
      <c r="BH110" s="126">
        <v>30</v>
      </c>
      <c r="BI110" s="123" t="s">
        <v>4</v>
      </c>
    </row>
    <row r="111" spans="1:61" s="110" customFormat="1" ht="11.25" customHeight="1">
      <c r="A111" s="123" t="s">
        <v>307</v>
      </c>
      <c r="B111" s="123">
        <v>1</v>
      </c>
      <c r="C111" s="126">
        <v>104</v>
      </c>
      <c r="D111" s="124" t="s">
        <v>308</v>
      </c>
      <c r="E111" s="192">
        <v>66</v>
      </c>
      <c r="F111" s="125">
        <f>ROUND(E111*Valores!$C$2,2)</f>
        <v>5463.48</v>
      </c>
      <c r="G111" s="192">
        <v>1911</v>
      </c>
      <c r="H111" s="125">
        <f>ROUND(G111*Valores!$C$2,2)</f>
        <v>158192.58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57177.8</v>
      </c>
      <c r="N111" s="125">
        <f t="shared" si="12"/>
        <v>0</v>
      </c>
      <c r="O111" s="125">
        <f>Valores!$C$14</f>
        <v>82427.08</v>
      </c>
      <c r="P111" s="125">
        <f>Valores!$D$5</f>
        <v>42317.14</v>
      </c>
      <c r="Q111" s="125">
        <f>Valores!$C$22</f>
        <v>37751.3</v>
      </c>
      <c r="R111" s="125">
        <f>IF($F$4="NO",Valores!$C$43,Valores!$C$43/2)</f>
        <v>26083.37</v>
      </c>
      <c r="S111" s="125">
        <f>Valores!$C$20</f>
        <v>38971.76</v>
      </c>
      <c r="T111" s="125">
        <f t="shared" si="19"/>
        <v>38971.76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Valores!$C$96</f>
        <v>57944.18</v>
      </c>
      <c r="AA111" s="125">
        <f>Valores!$C$25</f>
        <v>1730.69</v>
      </c>
      <c r="AB111" s="214">
        <v>0</v>
      </c>
      <c r="AC111" s="125">
        <f t="shared" si="13"/>
        <v>0</v>
      </c>
      <c r="AD111" s="125">
        <f>Valores!$C$26</f>
        <v>1730.69</v>
      </c>
      <c r="AE111" s="192">
        <v>94</v>
      </c>
      <c r="AF111" s="125">
        <f>ROUND(AE111*Valores!$C$2,2)</f>
        <v>7781.32</v>
      </c>
      <c r="AG111" s="125">
        <f>ROUND(IF($F$4="NO",Valores!$C$64,Valores!$C$64/2),2)</f>
        <v>19786.28</v>
      </c>
      <c r="AH111" s="125">
        <f>SUM(F111,H111,J111,L111,M111,N111,O111,P111,Q111,R111,T111,U111,V111,X111,Y111,Z111,AA111,AC111,AD111,AF111,AG111)*Valores!$C$104</f>
        <v>53735.76700000001</v>
      </c>
      <c r="AI111" s="125">
        <f t="shared" si="16"/>
        <v>591093.437</v>
      </c>
      <c r="AJ111" s="125">
        <f>Valores!$C$31</f>
        <v>35000</v>
      </c>
      <c r="AK111" s="125">
        <v>0</v>
      </c>
      <c r="AL111" s="125">
        <f>Valores!$C$89</f>
        <v>0</v>
      </c>
      <c r="AM111" s="125">
        <f>Valores!C$39*B111</f>
        <v>0</v>
      </c>
      <c r="AN111" s="125">
        <f>IF($F$3="NO",0,Valores!$C$57)</f>
        <v>0</v>
      </c>
      <c r="AO111" s="125">
        <f t="shared" si="14"/>
        <v>35000</v>
      </c>
      <c r="AP111" s="125">
        <f>AI111*Valores!$C$72</f>
        <v>-65020.27807000001</v>
      </c>
      <c r="AQ111" s="125">
        <f>IF(AI111&lt;Valores!$E$73,-0.02,IF(AI111&lt;Valores!$F$73,-0.03,-0.04))*AI111</f>
        <v>-11821.868740000002</v>
      </c>
      <c r="AR111" s="125">
        <f>AI111*Valores!$C$75</f>
        <v>-32510.139035000004</v>
      </c>
      <c r="AS111" s="125">
        <f>Valores!$C$102</f>
        <v>-1270.16</v>
      </c>
      <c r="AT111" s="125">
        <f>IF($F$5=0,Valores!$C$103,(Valores!$C$103+$F$5*(Valores!$C$103)))</f>
        <v>-11714</v>
      </c>
      <c r="AU111" s="125">
        <f t="shared" si="17"/>
        <v>503756.99115500005</v>
      </c>
      <c r="AV111" s="125">
        <f t="shared" si="11"/>
        <v>-65020.27807000001</v>
      </c>
      <c r="AW111" s="125">
        <f t="shared" si="18"/>
        <v>-11821.868740000002</v>
      </c>
      <c r="AX111" s="125">
        <f>AI111*Valores!$C$76</f>
        <v>-15959.522799</v>
      </c>
      <c r="AY111" s="125">
        <f>AI111*Valores!$C$77</f>
        <v>-1773.2803110000002</v>
      </c>
      <c r="AZ111" s="125">
        <f t="shared" si="15"/>
        <v>531518.48708</v>
      </c>
      <c r="BA111" s="125">
        <f>AI111*Valores!$C$79</f>
        <v>94574.94992000001</v>
      </c>
      <c r="BB111" s="125">
        <f>AI111*Valores!$C$80</f>
        <v>41376.540590000004</v>
      </c>
      <c r="BC111" s="125">
        <f>AI111*Valores!$C$81</f>
        <v>5910.934370000001</v>
      </c>
      <c r="BD111" s="125">
        <f>AI111*Valores!$C$83</f>
        <v>20688.270295000002</v>
      </c>
      <c r="BE111" s="125">
        <f>AI111*Valores!$C$85</f>
        <v>31919.045598</v>
      </c>
      <c r="BF111" s="125">
        <f>AI111*Valores!$C$84</f>
        <v>3546.5606220000004</v>
      </c>
      <c r="BG111" s="126"/>
      <c r="BH111" s="126">
        <v>25</v>
      </c>
      <c r="BI111" s="123" t="s">
        <v>4</v>
      </c>
    </row>
    <row r="112" spans="1:61" s="110" customFormat="1" ht="11.25" customHeight="1">
      <c r="A112" s="123" t="s">
        <v>309</v>
      </c>
      <c r="B112" s="123">
        <v>1</v>
      </c>
      <c r="C112" s="126">
        <v>105</v>
      </c>
      <c r="D112" s="124" t="s">
        <v>310</v>
      </c>
      <c r="E112" s="192">
        <v>61</v>
      </c>
      <c r="F112" s="125">
        <f>ROUND(E112*Valores!$C$2,2)</f>
        <v>5049.58</v>
      </c>
      <c r="G112" s="192">
        <v>1545</v>
      </c>
      <c r="H112" s="125">
        <f>ROUND(G112*Valores!$C$2,2)</f>
        <v>127895.1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49499.95</v>
      </c>
      <c r="N112" s="125">
        <f t="shared" si="12"/>
        <v>0</v>
      </c>
      <c r="O112" s="125">
        <f>Valores!$C$14</f>
        <v>82427.08</v>
      </c>
      <c r="P112" s="125">
        <f>Valores!$D$5</f>
        <v>42317.14</v>
      </c>
      <c r="Q112" s="125">
        <f>Valores!$C$22</f>
        <v>37751.3</v>
      </c>
      <c r="R112" s="125">
        <f>IF($F$4="NO",Valores!$C$43,Valores!$C$43/2)</f>
        <v>26083.37</v>
      </c>
      <c r="S112" s="125">
        <f>Valores!$C$20</f>
        <v>38971.76</v>
      </c>
      <c r="T112" s="125">
        <f t="shared" si="19"/>
        <v>38971.76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Valores!$C$96</f>
        <v>57944.18</v>
      </c>
      <c r="AA112" s="125">
        <f>Valores!$C$25</f>
        <v>1730.69</v>
      </c>
      <c r="AB112" s="214">
        <v>0</v>
      </c>
      <c r="AC112" s="125">
        <f t="shared" si="13"/>
        <v>0</v>
      </c>
      <c r="AD112" s="125">
        <f>Valores!$C$26</f>
        <v>1730.69</v>
      </c>
      <c r="AE112" s="192">
        <v>94</v>
      </c>
      <c r="AF112" s="125">
        <f>ROUND(AE112*Valores!$C$2,2)</f>
        <v>7781.32</v>
      </c>
      <c r="AG112" s="125">
        <f>ROUND(IF($F$4="NO",Valores!$C$64,Valores!$C$64/2),2)</f>
        <v>19786.28</v>
      </c>
      <c r="AH112" s="125">
        <f>SUM(F112,H112,J112,L112,M112,N112,O112,P112,Q112,R112,T112,U112,V112,X112,Y112,Z112,AA112,AC112,AD112,AF112,AG112)*Valores!$C$104</f>
        <v>49896.84400000001</v>
      </c>
      <c r="AI112" s="125">
        <f t="shared" si="16"/>
        <v>548865.2840000001</v>
      </c>
      <c r="AJ112" s="125">
        <f>Valores!$C$31</f>
        <v>35000</v>
      </c>
      <c r="AK112" s="125">
        <v>0</v>
      </c>
      <c r="AL112" s="125">
        <f>Valores!$C$89</f>
        <v>0</v>
      </c>
      <c r="AM112" s="125">
        <f>Valores!C$39*B112</f>
        <v>0</v>
      </c>
      <c r="AN112" s="125">
        <f>IF($F$3="NO",0,Valores!$C$57)</f>
        <v>0</v>
      </c>
      <c r="AO112" s="125">
        <f t="shared" si="14"/>
        <v>35000</v>
      </c>
      <c r="AP112" s="125">
        <f>AI112*Valores!$C$72</f>
        <v>-60375.18124000001</v>
      </c>
      <c r="AQ112" s="125">
        <f>IF(AI112&lt;Valores!$E$73,-0.02,IF(AI112&lt;Valores!$F$73,-0.03,-0.04))*AI112</f>
        <v>-10977.305680000003</v>
      </c>
      <c r="AR112" s="125">
        <f>AI112*Valores!$C$75</f>
        <v>-30187.590620000006</v>
      </c>
      <c r="AS112" s="125">
        <f>Valores!$C$102</f>
        <v>-1270.16</v>
      </c>
      <c r="AT112" s="125">
        <f>IF($F$5=0,Valores!$C$103,(Valores!$C$103+$F$5*(Valores!$C$103)))</f>
        <v>-11714</v>
      </c>
      <c r="AU112" s="125">
        <f t="shared" si="17"/>
        <v>469341.0464600001</v>
      </c>
      <c r="AV112" s="125">
        <f t="shared" si="11"/>
        <v>-60375.18124000001</v>
      </c>
      <c r="AW112" s="125">
        <f t="shared" si="18"/>
        <v>-10977.305680000003</v>
      </c>
      <c r="AX112" s="125">
        <f>AI112*Valores!$C$76</f>
        <v>-14819.362668000003</v>
      </c>
      <c r="AY112" s="125">
        <f>AI112*Valores!$C$77</f>
        <v>-1646.5958520000004</v>
      </c>
      <c r="AZ112" s="125">
        <f t="shared" si="15"/>
        <v>496046.83856000006</v>
      </c>
      <c r="BA112" s="125">
        <f>AI112*Valores!$C$79</f>
        <v>87818.44544000002</v>
      </c>
      <c r="BB112" s="125">
        <f>AI112*Valores!$C$80</f>
        <v>38420.56988000001</v>
      </c>
      <c r="BC112" s="125">
        <f>AI112*Valores!$C$81</f>
        <v>5488.652840000002</v>
      </c>
      <c r="BD112" s="125">
        <f>AI112*Valores!$C$83</f>
        <v>19210.284940000005</v>
      </c>
      <c r="BE112" s="125">
        <f>AI112*Valores!$C$85</f>
        <v>29638.725336000007</v>
      </c>
      <c r="BF112" s="125">
        <f>AI112*Valores!$C$84</f>
        <v>3293.1917040000008</v>
      </c>
      <c r="BG112" s="126"/>
      <c r="BH112" s="126">
        <v>25</v>
      </c>
      <c r="BI112" s="123" t="s">
        <v>8</v>
      </c>
    </row>
    <row r="113" spans="1:61" s="110" customFormat="1" ht="11.25" customHeight="1">
      <c r="A113" s="123" t="s">
        <v>311</v>
      </c>
      <c r="B113" s="123">
        <v>1</v>
      </c>
      <c r="C113" s="126">
        <v>106</v>
      </c>
      <c r="D113" s="124" t="s">
        <v>312</v>
      </c>
      <c r="E113" s="192">
        <f>75+143</f>
        <v>218</v>
      </c>
      <c r="F113" s="125">
        <f>ROUND(E113*Valores!$C$2,2)</f>
        <v>18046.04</v>
      </c>
      <c r="G113" s="192">
        <v>2100</v>
      </c>
      <c r="H113" s="125">
        <f>ROUND(G113*Valores!$C$2,2)</f>
        <v>173838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64234.79</v>
      </c>
      <c r="N113" s="125">
        <f t="shared" si="12"/>
        <v>0</v>
      </c>
      <c r="O113" s="125">
        <f>Valores!$C$14</f>
        <v>82427.08</v>
      </c>
      <c r="P113" s="125">
        <f>Valores!$D$5</f>
        <v>42317.14</v>
      </c>
      <c r="Q113" s="125">
        <f>Valores!$C$22</f>
        <v>37751.3</v>
      </c>
      <c r="R113" s="125">
        <f>IF($F$4="NO",Valores!$C$43,Valores!$C$43/2)</f>
        <v>26083.37</v>
      </c>
      <c r="S113" s="125">
        <f>Valores!$C$20</f>
        <v>38971.76</v>
      </c>
      <c r="T113" s="125">
        <f t="shared" si="19"/>
        <v>38971.76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Valores!$C$96</f>
        <v>57944.18</v>
      </c>
      <c r="AA113" s="125">
        <f>Valores!$C$25</f>
        <v>1730.69</v>
      </c>
      <c r="AB113" s="214">
        <v>0</v>
      </c>
      <c r="AC113" s="125">
        <f t="shared" si="13"/>
        <v>0</v>
      </c>
      <c r="AD113" s="125">
        <f>Valores!$C$26</f>
        <v>1730.69</v>
      </c>
      <c r="AE113" s="192">
        <v>0</v>
      </c>
      <c r="AF113" s="125">
        <f>ROUND(AE113*Valores!$C$2,2)</f>
        <v>0</v>
      </c>
      <c r="AG113" s="125">
        <f>ROUND(IF($F$4="NO",Valores!$C$64,Valores!$C$64/2),2)</f>
        <v>19786.28</v>
      </c>
      <c r="AH113" s="125">
        <f>SUM(F113,H113,J113,L113,M113,N113,O113,P113,Q113,R113,T113,U113,V113,X113,Y113,Z113,AA113,AC113,AD113,AF113,AG113)*Valores!$C$104</f>
        <v>56486.132</v>
      </c>
      <c r="AI113" s="125">
        <f t="shared" si="16"/>
        <v>621347.4519999999</v>
      </c>
      <c r="AJ113" s="125">
        <f>Valores!$C$31</f>
        <v>35000</v>
      </c>
      <c r="AK113" s="125">
        <v>0</v>
      </c>
      <c r="AL113" s="125">
        <f>Valores!$C$89</f>
        <v>0</v>
      </c>
      <c r="AM113" s="125">
        <f>Valores!C$39*B113</f>
        <v>0</v>
      </c>
      <c r="AN113" s="125">
        <f>IF($F$3="NO",0,Valores!$C$57)</f>
        <v>0</v>
      </c>
      <c r="AO113" s="125">
        <f t="shared" si="14"/>
        <v>35000</v>
      </c>
      <c r="AP113" s="125">
        <f>AI113*Valores!$C$72</f>
        <v>-68348.21972</v>
      </c>
      <c r="AQ113" s="125">
        <f>IF(AI113&lt;Valores!$E$73,-0.02,IF(AI113&lt;Valores!$F$73,-0.03,-0.04))*AI113</f>
        <v>-12426.94904</v>
      </c>
      <c r="AR113" s="125">
        <f>AI113*Valores!$C$75</f>
        <v>-34174.10986</v>
      </c>
      <c r="AS113" s="125">
        <f>Valores!$C$102</f>
        <v>-1270.16</v>
      </c>
      <c r="AT113" s="125">
        <f>IF($F$5=0,Valores!$C$103,(Valores!$C$103+$F$5*(Valores!$C$103)))</f>
        <v>-11714</v>
      </c>
      <c r="AU113" s="125">
        <f t="shared" si="17"/>
        <v>528414.0133799999</v>
      </c>
      <c r="AV113" s="125">
        <f t="shared" si="11"/>
        <v>-68348.21972</v>
      </c>
      <c r="AW113" s="125">
        <f t="shared" si="18"/>
        <v>-12426.94904</v>
      </c>
      <c r="AX113" s="125">
        <f>AI113*Valores!$C$76</f>
        <v>-16776.381203999998</v>
      </c>
      <c r="AY113" s="125">
        <f>AI113*Valores!$C$77</f>
        <v>-1864.042356</v>
      </c>
      <c r="AZ113" s="125">
        <f t="shared" si="15"/>
        <v>556931.8596799999</v>
      </c>
      <c r="BA113" s="125">
        <f>AI113*Valores!$C$79</f>
        <v>99415.59232</v>
      </c>
      <c r="BB113" s="125">
        <f>AI113*Valores!$C$80</f>
        <v>43494.32164</v>
      </c>
      <c r="BC113" s="125">
        <f>AI113*Valores!$C$81</f>
        <v>6213.47452</v>
      </c>
      <c r="BD113" s="125">
        <f>AI113*Valores!$C$83</f>
        <v>21747.16082</v>
      </c>
      <c r="BE113" s="125">
        <f>AI113*Valores!$C$85</f>
        <v>33552.762407999995</v>
      </c>
      <c r="BF113" s="125">
        <f>AI113*Valores!$C$84</f>
        <v>3728.084712</v>
      </c>
      <c r="BG113" s="126"/>
      <c r="BH113" s="126">
        <v>30</v>
      </c>
      <c r="BI113" s="123" t="s">
        <v>4</v>
      </c>
    </row>
    <row r="114" spans="1:61" s="110" customFormat="1" ht="11.25" customHeight="1">
      <c r="A114" s="123" t="s">
        <v>313</v>
      </c>
      <c r="B114" s="123">
        <v>1</v>
      </c>
      <c r="C114" s="126">
        <v>107</v>
      </c>
      <c r="D114" s="124" t="s">
        <v>314</v>
      </c>
      <c r="E114" s="192">
        <f>77+143</f>
        <v>220</v>
      </c>
      <c r="F114" s="125">
        <f>ROUND(E114*Valores!$C$2,2)</f>
        <v>18211.6</v>
      </c>
      <c r="G114" s="192">
        <v>1995</v>
      </c>
      <c r="H114" s="125">
        <f>ROUND(G114*Valores!$C$2,2)</f>
        <v>165146.1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62103.21</v>
      </c>
      <c r="N114" s="125">
        <f t="shared" si="12"/>
        <v>0</v>
      </c>
      <c r="O114" s="125">
        <f>Valores!$C$14</f>
        <v>82427.08</v>
      </c>
      <c r="P114" s="125">
        <f>Valores!$D$5</f>
        <v>42317.14</v>
      </c>
      <c r="Q114" s="125">
        <f>Valores!$C$22</f>
        <v>37751.3</v>
      </c>
      <c r="R114" s="125">
        <f>IF($F$4="NO",Valores!$C$43,Valores!$C$43/2)</f>
        <v>26083.37</v>
      </c>
      <c r="S114" s="125">
        <f>Valores!$C$20</f>
        <v>38971.76</v>
      </c>
      <c r="T114" s="125">
        <f t="shared" si="19"/>
        <v>38971.76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Valores!$C$96</f>
        <v>57944.18</v>
      </c>
      <c r="AA114" s="125">
        <f>Valores!$C$25</f>
        <v>1730.69</v>
      </c>
      <c r="AB114" s="214">
        <v>0</v>
      </c>
      <c r="AC114" s="125">
        <f t="shared" si="13"/>
        <v>0</v>
      </c>
      <c r="AD114" s="125">
        <f>Valores!$C$26</f>
        <v>1730.69</v>
      </c>
      <c r="AE114" s="192">
        <v>0</v>
      </c>
      <c r="AF114" s="125">
        <f>ROUND(AE114*Valores!$C$2,2)</f>
        <v>0</v>
      </c>
      <c r="AG114" s="125">
        <f>ROUND(IF($F$4="NO",Valores!$C$64,Valores!$C$64/2),2)</f>
        <v>19786.28</v>
      </c>
      <c r="AH114" s="125">
        <f>SUM(F114,H114,J114,L114,M114,N114,O114,P114,Q114,R114,T114,U114,V114,X114,Y114,Z114,AA114,AC114,AD114,AF114,AG114)*Valores!$C$104</f>
        <v>55420.34</v>
      </c>
      <c r="AI114" s="125">
        <f t="shared" si="16"/>
        <v>609623.7399999999</v>
      </c>
      <c r="AJ114" s="125">
        <f>Valores!$C$31</f>
        <v>35000</v>
      </c>
      <c r="AK114" s="125">
        <v>0</v>
      </c>
      <c r="AL114" s="125">
        <f>Valores!$C$89</f>
        <v>0</v>
      </c>
      <c r="AM114" s="125">
        <f>Valores!C$39*B114</f>
        <v>0</v>
      </c>
      <c r="AN114" s="125">
        <f>IF($F$3="NO",0,Valores!$C$57)</f>
        <v>0</v>
      </c>
      <c r="AO114" s="125">
        <f t="shared" si="14"/>
        <v>35000</v>
      </c>
      <c r="AP114" s="125">
        <f>AI114*Valores!$C$72</f>
        <v>-67058.61139999998</v>
      </c>
      <c r="AQ114" s="125">
        <f>IF(AI114&lt;Valores!$E$73,-0.02,IF(AI114&lt;Valores!$F$73,-0.03,-0.04))*AI114</f>
        <v>-12192.474799999998</v>
      </c>
      <c r="AR114" s="125">
        <f>AI114*Valores!$C$75</f>
        <v>-33529.30569999999</v>
      </c>
      <c r="AS114" s="125">
        <f>Valores!$C$102</f>
        <v>-1270.16</v>
      </c>
      <c r="AT114" s="125">
        <f>IF($F$5=0,Valores!$C$103,(Valores!$C$103+$F$5*(Valores!$C$103)))</f>
        <v>-11714</v>
      </c>
      <c r="AU114" s="125">
        <f t="shared" si="17"/>
        <v>518859.1880999999</v>
      </c>
      <c r="AV114" s="125">
        <f t="shared" si="11"/>
        <v>-67058.61139999998</v>
      </c>
      <c r="AW114" s="125">
        <f t="shared" si="18"/>
        <v>-12192.474799999998</v>
      </c>
      <c r="AX114" s="125">
        <f>AI114*Valores!$C$76</f>
        <v>-16459.840979999997</v>
      </c>
      <c r="AY114" s="125">
        <f>AI114*Valores!$C$77</f>
        <v>-1828.8712199999998</v>
      </c>
      <c r="AZ114" s="125">
        <f t="shared" si="15"/>
        <v>547083.9415999999</v>
      </c>
      <c r="BA114" s="125">
        <f>AI114*Valores!$C$79</f>
        <v>97539.79839999999</v>
      </c>
      <c r="BB114" s="125">
        <f>AI114*Valores!$C$80</f>
        <v>42673.661799999994</v>
      </c>
      <c r="BC114" s="125">
        <f>AI114*Valores!$C$81</f>
        <v>6096.237399999999</v>
      </c>
      <c r="BD114" s="125">
        <f>AI114*Valores!$C$83</f>
        <v>21336.830899999997</v>
      </c>
      <c r="BE114" s="125">
        <f>AI114*Valores!$C$85</f>
        <v>32919.681959999994</v>
      </c>
      <c r="BF114" s="125">
        <f>AI114*Valores!$C$84</f>
        <v>3657.7424399999995</v>
      </c>
      <c r="BG114" s="126"/>
      <c r="BH114" s="126">
        <v>30</v>
      </c>
      <c r="BI114" s="123" t="s">
        <v>4</v>
      </c>
    </row>
    <row r="115" spans="1:61" s="110" customFormat="1" ht="11.25" customHeight="1">
      <c r="A115" s="123" t="s">
        <v>315</v>
      </c>
      <c r="B115" s="123">
        <v>1</v>
      </c>
      <c r="C115" s="126">
        <v>108</v>
      </c>
      <c r="D115" s="124" t="s">
        <v>316</v>
      </c>
      <c r="E115" s="192">
        <f>72+115</f>
        <v>187</v>
      </c>
      <c r="F115" s="125">
        <f>ROUND(E115*Valores!$C$2,2)</f>
        <v>15479.86</v>
      </c>
      <c r="G115" s="192">
        <v>1704</v>
      </c>
      <c r="H115" s="125">
        <f>ROUND(G115*Valores!$C$2,2)</f>
        <v>141057.12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55398.03</v>
      </c>
      <c r="N115" s="125">
        <f t="shared" si="12"/>
        <v>0</v>
      </c>
      <c r="O115" s="125">
        <f>Valores!$C$14</f>
        <v>82427.08</v>
      </c>
      <c r="P115" s="125">
        <f>Valores!$D$5</f>
        <v>42317.14</v>
      </c>
      <c r="Q115" s="125">
        <f>Valores!$C$22</f>
        <v>37751.3</v>
      </c>
      <c r="R115" s="125">
        <f>IF($F$4="NO",Valores!$C$43,Valores!$C$43/2)</f>
        <v>26083.37</v>
      </c>
      <c r="S115" s="125">
        <f>Valores!$C$20</f>
        <v>38971.76</v>
      </c>
      <c r="T115" s="125">
        <f t="shared" si="19"/>
        <v>38971.76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Valores!$C$96</f>
        <v>57944.18</v>
      </c>
      <c r="AA115" s="125">
        <f>Valores!$C$25</f>
        <v>1730.69</v>
      </c>
      <c r="AB115" s="214">
        <v>0</v>
      </c>
      <c r="AC115" s="125">
        <f t="shared" si="13"/>
        <v>0</v>
      </c>
      <c r="AD115" s="125">
        <f>Valores!$C$26</f>
        <v>1730.69</v>
      </c>
      <c r="AE115" s="192">
        <v>0</v>
      </c>
      <c r="AF115" s="125">
        <f>ROUND(AE115*Valores!$C$2,2)</f>
        <v>0</v>
      </c>
      <c r="AG115" s="125">
        <f>ROUND(IF($F$4="NO",Valores!$C$64,Valores!$C$64/2),2)</f>
        <v>19786.28</v>
      </c>
      <c r="AH115" s="125">
        <f>SUM(F115,H115,J115,L115,M115,N115,O115,P115,Q115,R115,T115,U115,V115,X115,Y115,Z115,AA115,AC115,AD115,AF115,AG115)*Valores!$C$104</f>
        <v>52067.75</v>
      </c>
      <c r="AI115" s="125">
        <f t="shared" si="16"/>
        <v>572745.25</v>
      </c>
      <c r="AJ115" s="125">
        <f>Valores!$C$31</f>
        <v>35000</v>
      </c>
      <c r="AK115" s="125">
        <v>0</v>
      </c>
      <c r="AL115" s="125">
        <f>Valores!$C$89</f>
        <v>0</v>
      </c>
      <c r="AM115" s="125">
        <f>Valores!C$39*B115</f>
        <v>0</v>
      </c>
      <c r="AN115" s="125">
        <f>IF($F$3="NO",0,Valores!$C$57)</f>
        <v>0</v>
      </c>
      <c r="AO115" s="125">
        <f t="shared" si="14"/>
        <v>35000</v>
      </c>
      <c r="AP115" s="125">
        <f>AI115*Valores!$C$72</f>
        <v>-63001.9775</v>
      </c>
      <c r="AQ115" s="125">
        <f>IF(AI115&lt;Valores!$E$73,-0.02,IF(AI115&lt;Valores!$F$73,-0.03,-0.04))*AI115</f>
        <v>-11454.905</v>
      </c>
      <c r="AR115" s="125">
        <f>AI115*Valores!$C$75</f>
        <v>-31500.98875</v>
      </c>
      <c r="AS115" s="125">
        <f>Valores!$C$102</f>
        <v>-1270.16</v>
      </c>
      <c r="AT115" s="125">
        <f>IF($F$5=0,Valores!$C$103,(Valores!$C$103+$F$5*(Valores!$C$103)))</f>
        <v>-11714</v>
      </c>
      <c r="AU115" s="125">
        <f t="shared" si="17"/>
        <v>488803.21875</v>
      </c>
      <c r="AV115" s="125">
        <f t="shared" si="11"/>
        <v>-63001.9775</v>
      </c>
      <c r="AW115" s="125">
        <f t="shared" si="18"/>
        <v>-11454.905</v>
      </c>
      <c r="AX115" s="125">
        <f>AI115*Valores!$C$76</f>
        <v>-15464.12175</v>
      </c>
      <c r="AY115" s="125">
        <f>AI115*Valores!$C$77</f>
        <v>-1718.23575</v>
      </c>
      <c r="AZ115" s="125">
        <f t="shared" si="15"/>
        <v>516106.01</v>
      </c>
      <c r="BA115" s="125">
        <f>AI115*Valores!$C$79</f>
        <v>91639.24</v>
      </c>
      <c r="BB115" s="125">
        <f>AI115*Valores!$C$80</f>
        <v>40092.1675</v>
      </c>
      <c r="BC115" s="125">
        <f>AI115*Valores!$C$81</f>
        <v>5727.4525</v>
      </c>
      <c r="BD115" s="125">
        <f>AI115*Valores!$C$83</f>
        <v>20046.08375</v>
      </c>
      <c r="BE115" s="125">
        <f>AI115*Valores!$C$85</f>
        <v>30928.2435</v>
      </c>
      <c r="BF115" s="125">
        <f>AI115*Valores!$C$84</f>
        <v>3436.4715</v>
      </c>
      <c r="BG115" s="126"/>
      <c r="BH115" s="126">
        <v>30</v>
      </c>
      <c r="BI115" s="123" t="s">
        <v>4</v>
      </c>
    </row>
    <row r="116" spans="1:61" s="110" customFormat="1" ht="11.25" customHeight="1">
      <c r="A116" s="123" t="s">
        <v>317</v>
      </c>
      <c r="B116" s="123">
        <v>1</v>
      </c>
      <c r="C116" s="126">
        <v>109</v>
      </c>
      <c r="D116" s="124" t="s">
        <v>318</v>
      </c>
      <c r="E116" s="192">
        <f>67+94</f>
        <v>161</v>
      </c>
      <c r="F116" s="125">
        <f>ROUND(E116*Valores!$C$2,2)</f>
        <v>13327.58</v>
      </c>
      <c r="G116" s="192">
        <v>1480</v>
      </c>
      <c r="H116" s="125">
        <f>ROUND(G116*Valores!$C$2,2)</f>
        <v>122514.4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50224.28</v>
      </c>
      <c r="N116" s="125">
        <f t="shared" si="12"/>
        <v>0</v>
      </c>
      <c r="O116" s="125">
        <f>Valores!$C$14</f>
        <v>82427.08</v>
      </c>
      <c r="P116" s="125">
        <f>Valores!$D$5</f>
        <v>42317.14</v>
      </c>
      <c r="Q116" s="125">
        <f>Valores!$C$22</f>
        <v>37751.3</v>
      </c>
      <c r="R116" s="125">
        <f>IF($F$4="NO",Valores!$C$43,Valores!$C$43/2)</f>
        <v>26083.37</v>
      </c>
      <c r="S116" s="125">
        <f>Valores!$C$20</f>
        <v>38971.76</v>
      </c>
      <c r="T116" s="125">
        <f t="shared" si="19"/>
        <v>38971.76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Valores!$C$96</f>
        <v>57944.18</v>
      </c>
      <c r="AA116" s="125">
        <f>Valores!$C$25</f>
        <v>1730.69</v>
      </c>
      <c r="AB116" s="214">
        <v>0</v>
      </c>
      <c r="AC116" s="125">
        <f t="shared" si="13"/>
        <v>0</v>
      </c>
      <c r="AD116" s="125">
        <f>Valores!$C$26</f>
        <v>1730.69</v>
      </c>
      <c r="AE116" s="192">
        <v>0</v>
      </c>
      <c r="AF116" s="125">
        <f>ROUND(AE116*Valores!$C$2,2)</f>
        <v>0</v>
      </c>
      <c r="AG116" s="125">
        <f>ROUND(IF($F$4="NO",Valores!$C$64,Valores!$C$64/2),2)</f>
        <v>19786.28</v>
      </c>
      <c r="AH116" s="125">
        <f>SUM(F116,H116,J116,L116,M116,N116,O116,P116,Q116,R116,T116,U116,V116,X116,Y116,Z116,AA116,AC116,AD116,AF116,AG116)*Valores!$C$104</f>
        <v>49480.875</v>
      </c>
      <c r="AI116" s="125">
        <f t="shared" si="16"/>
        <v>544289.625</v>
      </c>
      <c r="AJ116" s="125">
        <f>Valores!$C$31</f>
        <v>35000</v>
      </c>
      <c r="AK116" s="125">
        <v>0</v>
      </c>
      <c r="AL116" s="125">
        <f>Valores!$C$89</f>
        <v>0</v>
      </c>
      <c r="AM116" s="125">
        <f>Valores!C$39*B116</f>
        <v>0</v>
      </c>
      <c r="AN116" s="125">
        <f>IF($F$3="NO",0,Valores!$C$57)</f>
        <v>0</v>
      </c>
      <c r="AO116" s="125">
        <f t="shared" si="14"/>
        <v>35000</v>
      </c>
      <c r="AP116" s="125">
        <f>AI116*Valores!$C$72</f>
        <v>-59871.85875</v>
      </c>
      <c r="AQ116" s="125">
        <f>IF(AI116&lt;Valores!$E$73,-0.02,IF(AI116&lt;Valores!$F$73,-0.03,-0.04))*AI116</f>
        <v>-10885.7925</v>
      </c>
      <c r="AR116" s="125">
        <f>AI116*Valores!$C$75</f>
        <v>-29935.929375</v>
      </c>
      <c r="AS116" s="125">
        <f>Valores!$C$102</f>
        <v>-1270.16</v>
      </c>
      <c r="AT116" s="125">
        <f>IF($F$5=0,Valores!$C$103,(Valores!$C$103+$F$5*(Valores!$C$103)))</f>
        <v>-11714</v>
      </c>
      <c r="AU116" s="125">
        <f t="shared" si="17"/>
        <v>465611.884375</v>
      </c>
      <c r="AV116" s="125">
        <f t="shared" si="11"/>
        <v>-59871.85875</v>
      </c>
      <c r="AW116" s="125">
        <f t="shared" si="18"/>
        <v>-10885.7925</v>
      </c>
      <c r="AX116" s="125">
        <f>AI116*Valores!$C$76</f>
        <v>-14695.819875</v>
      </c>
      <c r="AY116" s="125">
        <f>AI116*Valores!$C$77</f>
        <v>-1632.8688750000001</v>
      </c>
      <c r="AZ116" s="125">
        <f t="shared" si="15"/>
        <v>492203.28500000003</v>
      </c>
      <c r="BA116" s="125">
        <f>AI116*Valores!$C$79</f>
        <v>87086.34</v>
      </c>
      <c r="BB116" s="125">
        <f>AI116*Valores!$C$80</f>
        <v>38100.27375</v>
      </c>
      <c r="BC116" s="125">
        <f>AI116*Valores!$C$81</f>
        <v>5442.89625</v>
      </c>
      <c r="BD116" s="125">
        <f>AI116*Valores!$C$83</f>
        <v>19050.136875</v>
      </c>
      <c r="BE116" s="125">
        <f>AI116*Valores!$C$85</f>
        <v>29391.63975</v>
      </c>
      <c r="BF116" s="125">
        <f>AI116*Valores!$C$84</f>
        <v>3265.7377500000002</v>
      </c>
      <c r="BG116" s="126"/>
      <c r="BH116" s="126">
        <v>30</v>
      </c>
      <c r="BI116" s="123" t="s">
        <v>4</v>
      </c>
    </row>
    <row r="117" spans="1:61" s="110" customFormat="1" ht="11.25" customHeight="1">
      <c r="A117" s="123" t="s">
        <v>319</v>
      </c>
      <c r="B117" s="123">
        <v>1</v>
      </c>
      <c r="C117" s="126">
        <v>110</v>
      </c>
      <c r="D117" s="124" t="s">
        <v>320</v>
      </c>
      <c r="E117" s="192">
        <f>1184+94</f>
        <v>1278</v>
      </c>
      <c r="F117" s="125">
        <f>ROUND(E117*Valores!$C$2,2)</f>
        <v>105792.84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42711.99</v>
      </c>
      <c r="N117" s="125">
        <f t="shared" si="12"/>
        <v>0</v>
      </c>
      <c r="O117" s="125">
        <f>Valores!$C$14</f>
        <v>82427.08</v>
      </c>
      <c r="P117" s="125">
        <f>Valores!$D$5</f>
        <v>42317.14</v>
      </c>
      <c r="Q117" s="125">
        <f>Valores!$C$22</f>
        <v>37751.3</v>
      </c>
      <c r="R117" s="125">
        <f>IF($F$4="NO",Valores!$C$43,Valores!$C$43/2)</f>
        <v>26083.37</v>
      </c>
      <c r="S117" s="125">
        <f>Valores!$C$20</f>
        <v>38971.76</v>
      </c>
      <c r="T117" s="125">
        <f t="shared" si="19"/>
        <v>38971.76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Valores!$C$96</f>
        <v>57944.18</v>
      </c>
      <c r="AA117" s="125">
        <f>Valores!$C$25</f>
        <v>1730.69</v>
      </c>
      <c r="AB117" s="214">
        <v>0</v>
      </c>
      <c r="AC117" s="125">
        <f t="shared" si="13"/>
        <v>0</v>
      </c>
      <c r="AD117" s="125">
        <f>Valores!$C$26</f>
        <v>1730.69</v>
      </c>
      <c r="AE117" s="192">
        <v>0</v>
      </c>
      <c r="AF117" s="125">
        <f>ROUND(AE117*Valores!$C$2,2)</f>
        <v>0</v>
      </c>
      <c r="AG117" s="125">
        <f>ROUND(IF($F$4="NO",Valores!$C$64,Valores!$C$64/2),2)</f>
        <v>19786.28</v>
      </c>
      <c r="AH117" s="125">
        <f>SUM(F117,H117,J117,L117,M117,N117,O117,P117,Q117,R117,T117,U117,V117,X117,Y117,Z117,AA117,AC117,AD117,AF117,AG117)*Valores!$C$104</f>
        <v>45724.731999999996</v>
      </c>
      <c r="AI117" s="125">
        <f t="shared" si="16"/>
        <v>502972.05199999997</v>
      </c>
      <c r="AJ117" s="125">
        <f>Valores!$C$31</f>
        <v>35000</v>
      </c>
      <c r="AK117" s="125">
        <v>0</v>
      </c>
      <c r="AL117" s="125">
        <f>Valores!$C$89</f>
        <v>0</v>
      </c>
      <c r="AM117" s="125">
        <f>Valores!C$39*B117</f>
        <v>0</v>
      </c>
      <c r="AN117" s="125">
        <f>IF($F$3="NO",0,Valores!$C$57)</f>
        <v>0</v>
      </c>
      <c r="AO117" s="125">
        <f t="shared" si="14"/>
        <v>35000</v>
      </c>
      <c r="AP117" s="125">
        <f>AI117*Valores!$C$72</f>
        <v>-55326.92572</v>
      </c>
      <c r="AQ117" s="125">
        <f>IF(AI117&lt;Valores!$E$73,-0.02,IF(AI117&lt;Valores!$F$73,-0.03,-0.04))*AI117</f>
        <v>-10059.44104</v>
      </c>
      <c r="AR117" s="125">
        <f>AI117*Valores!$C$75</f>
        <v>-27663.46286</v>
      </c>
      <c r="AS117" s="125">
        <f>Valores!$C$102</f>
        <v>-1270.16</v>
      </c>
      <c r="AT117" s="125">
        <f>IF($F$5=0,Valores!$C$103,(Valores!$C$103+$F$5*(Valores!$C$103)))</f>
        <v>-11714</v>
      </c>
      <c r="AU117" s="125">
        <f t="shared" si="17"/>
        <v>431938.06237999996</v>
      </c>
      <c r="AV117" s="125">
        <f t="shared" si="11"/>
        <v>-55326.92572</v>
      </c>
      <c r="AW117" s="125">
        <f t="shared" si="18"/>
        <v>-10059.44104</v>
      </c>
      <c r="AX117" s="125">
        <f>AI117*Valores!$C$76</f>
        <v>-13580.245404</v>
      </c>
      <c r="AY117" s="125">
        <f>AI117*Valores!$C$77</f>
        <v>-1508.916156</v>
      </c>
      <c r="AZ117" s="125">
        <f t="shared" si="15"/>
        <v>457496.5236799999</v>
      </c>
      <c r="BA117" s="125">
        <f>AI117*Valores!$C$79</f>
        <v>80475.52832</v>
      </c>
      <c r="BB117" s="125">
        <f>AI117*Valores!$C$80</f>
        <v>35208.04364</v>
      </c>
      <c r="BC117" s="125">
        <f>AI117*Valores!$C$81</f>
        <v>5029.72052</v>
      </c>
      <c r="BD117" s="125">
        <f>AI117*Valores!$C$83</f>
        <v>17604.02182</v>
      </c>
      <c r="BE117" s="125">
        <f>AI117*Valores!$C$85</f>
        <v>27160.490808</v>
      </c>
      <c r="BF117" s="125">
        <f>AI117*Valores!$C$84</f>
        <v>3017.832312</v>
      </c>
      <c r="BG117" s="126"/>
      <c r="BH117" s="126">
        <v>30</v>
      </c>
      <c r="BI117" s="123" t="s">
        <v>4</v>
      </c>
    </row>
    <row r="118" spans="1:61" s="110" customFormat="1" ht="11.25" customHeight="1">
      <c r="A118" s="123" t="s">
        <v>321</v>
      </c>
      <c r="B118" s="123">
        <v>1</v>
      </c>
      <c r="C118" s="126">
        <v>111</v>
      </c>
      <c r="D118" s="124" t="s">
        <v>322</v>
      </c>
      <c r="E118" s="192">
        <v>77</v>
      </c>
      <c r="F118" s="125">
        <f>ROUND(E118*Valores!$C$2,2)</f>
        <v>6374.06</v>
      </c>
      <c r="G118" s="192">
        <v>2073</v>
      </c>
      <c r="H118" s="125">
        <f>ROUND(G118*Valores!$C$2,2)</f>
        <v>171602.94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61686.7</v>
      </c>
      <c r="N118" s="125">
        <f t="shared" si="12"/>
        <v>0</v>
      </c>
      <c r="O118" s="125">
        <f>Valores!$C$8</f>
        <v>103748.61</v>
      </c>
      <c r="P118" s="125">
        <f>Valores!$D$5</f>
        <v>42317.14</v>
      </c>
      <c r="Q118" s="125">
        <f>Valores!$C$22</f>
        <v>37751.3</v>
      </c>
      <c r="R118" s="125">
        <f>IF($F$4="NO",Valores!$C$45,Valores!$C$45/2)</f>
        <v>29395.49</v>
      </c>
      <c r="S118" s="125">
        <f>Valores!$C$19</f>
        <v>39374.32</v>
      </c>
      <c r="T118" s="125">
        <f t="shared" si="19"/>
        <v>39374.32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Valores!$C$96</f>
        <v>57944.18</v>
      </c>
      <c r="AA118" s="125">
        <f>Valores!$C$25</f>
        <v>1730.69</v>
      </c>
      <c r="AB118" s="214">
        <v>0</v>
      </c>
      <c r="AC118" s="125">
        <f t="shared" si="13"/>
        <v>0</v>
      </c>
      <c r="AD118" s="125">
        <f>Valores!$C$26</f>
        <v>1730.69</v>
      </c>
      <c r="AE118" s="192">
        <v>0</v>
      </c>
      <c r="AF118" s="125">
        <f>ROUND(AE118*Valores!$C$2,2)</f>
        <v>0</v>
      </c>
      <c r="AG118" s="125">
        <f>ROUND(IF($F$4="NO",Valores!$C$64,Valores!$C$64/2),2)</f>
        <v>19786.28</v>
      </c>
      <c r="AH118" s="125">
        <f>SUM(F118,H118,J118,L118,M118,N118,O118,P118,Q118,R118,T118,U118,V118,X118,Y118,Z118,AA118,AC118,AD118,AF118,AG118)*Valores!$C$104</f>
        <v>57344.23999999999</v>
      </c>
      <c r="AI118" s="125">
        <f t="shared" si="16"/>
        <v>630786.6399999999</v>
      </c>
      <c r="AJ118" s="125">
        <f>Valores!$C$31</f>
        <v>35000</v>
      </c>
      <c r="AK118" s="125">
        <v>0</v>
      </c>
      <c r="AL118" s="125">
        <f>Valores!$C$89</f>
        <v>0</v>
      </c>
      <c r="AM118" s="125">
        <f>Valores!C$39*B118</f>
        <v>0</v>
      </c>
      <c r="AN118" s="125">
        <f>IF($F$3="NO",0,Valores!$C$57)</f>
        <v>0</v>
      </c>
      <c r="AO118" s="125">
        <f t="shared" si="14"/>
        <v>35000</v>
      </c>
      <c r="AP118" s="125">
        <f>AI118*Valores!$C$72</f>
        <v>-69386.53039999999</v>
      </c>
      <c r="AQ118" s="125">
        <f>IF(AI118&lt;Valores!$E$73,-0.02,IF(AI118&lt;Valores!$F$73,-0.03,-0.04))*AI118</f>
        <v>-12615.732799999998</v>
      </c>
      <c r="AR118" s="125">
        <f>AI118*Valores!$C$75</f>
        <v>-34693.265199999994</v>
      </c>
      <c r="AS118" s="125">
        <f>Valores!$C$102</f>
        <v>-1270.16</v>
      </c>
      <c r="AT118" s="125">
        <f>IF($F$5=0,Valores!$C$103,(Valores!$C$103+$F$5*(Valores!$C$103)))</f>
        <v>-11714</v>
      </c>
      <c r="AU118" s="125">
        <f t="shared" si="17"/>
        <v>536106.9515999999</v>
      </c>
      <c r="AV118" s="125">
        <f t="shared" si="11"/>
        <v>-69386.53039999999</v>
      </c>
      <c r="AW118" s="125">
        <f t="shared" si="18"/>
        <v>-12615.732799999998</v>
      </c>
      <c r="AX118" s="125">
        <f>AI118*Valores!$C$76</f>
        <v>-17031.239279999998</v>
      </c>
      <c r="AY118" s="125">
        <f>AI118*Valores!$C$77</f>
        <v>-1892.3599199999996</v>
      </c>
      <c r="AZ118" s="125">
        <f t="shared" si="15"/>
        <v>564860.7775999999</v>
      </c>
      <c r="BA118" s="125">
        <f>AI118*Valores!$C$79</f>
        <v>100925.86239999998</v>
      </c>
      <c r="BB118" s="125">
        <f>AI118*Valores!$C$80</f>
        <v>44155.0648</v>
      </c>
      <c r="BC118" s="125">
        <f>AI118*Valores!$C$81</f>
        <v>6307.866399999999</v>
      </c>
      <c r="BD118" s="125">
        <f>AI118*Valores!$C$83</f>
        <v>22077.5324</v>
      </c>
      <c r="BE118" s="125">
        <f>AI118*Valores!$C$85</f>
        <v>34062.478559999996</v>
      </c>
      <c r="BF118" s="125">
        <f>AI118*Valores!$C$84</f>
        <v>3784.7198399999993</v>
      </c>
      <c r="BG118" s="126"/>
      <c r="BH118" s="126">
        <v>30</v>
      </c>
      <c r="BI118" s="123" t="s">
        <v>4</v>
      </c>
    </row>
    <row r="119" spans="1:61" s="110" customFormat="1" ht="11.25" customHeight="1">
      <c r="A119" s="123" t="s">
        <v>323</v>
      </c>
      <c r="B119" s="123">
        <v>1</v>
      </c>
      <c r="C119" s="126">
        <v>112</v>
      </c>
      <c r="D119" s="124" t="s">
        <v>324</v>
      </c>
      <c r="E119" s="192">
        <v>77</v>
      </c>
      <c r="F119" s="125">
        <f>ROUND(E119*Valores!$C$2,2)</f>
        <v>6374.06</v>
      </c>
      <c r="G119" s="192">
        <v>2043</v>
      </c>
      <c r="H119" s="125">
        <f>ROUND(G119*Valores!$C$2,2)</f>
        <v>169119.54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61065.85</v>
      </c>
      <c r="N119" s="125">
        <f t="shared" si="12"/>
        <v>0</v>
      </c>
      <c r="O119" s="125">
        <f>Valores!$C$9</f>
        <v>104016.7</v>
      </c>
      <c r="P119" s="125">
        <f>Valores!$D$5</f>
        <v>42317.14</v>
      </c>
      <c r="Q119" s="125">
        <f>Valores!$C$22</f>
        <v>37751.3</v>
      </c>
      <c r="R119" s="125">
        <f>IF($F$4="NO",Valores!$C$45,Valores!$C$45/2)</f>
        <v>29395.49</v>
      </c>
      <c r="S119" s="125">
        <f>Valores!$C$19</f>
        <v>39374.32</v>
      </c>
      <c r="T119" s="125">
        <f t="shared" si="19"/>
        <v>39374.32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Valores!$C$96</f>
        <v>57944.18</v>
      </c>
      <c r="AA119" s="125">
        <f>Valores!$C$25</f>
        <v>1730.69</v>
      </c>
      <c r="AB119" s="214">
        <v>0</v>
      </c>
      <c r="AC119" s="125">
        <f t="shared" si="13"/>
        <v>0</v>
      </c>
      <c r="AD119" s="125">
        <f>Valores!$C$26</f>
        <v>1730.69</v>
      </c>
      <c r="AE119" s="192">
        <v>0</v>
      </c>
      <c r="AF119" s="125">
        <f>ROUND(AE119*Valores!$C$2,2)</f>
        <v>0</v>
      </c>
      <c r="AG119" s="125">
        <f>ROUND(IF($F$4="NO",Valores!$C$64,Valores!$C$64/2),2)</f>
        <v>19786.28</v>
      </c>
      <c r="AH119" s="125">
        <f>SUM(F119,H119,J119,L119,M119,N119,O119,P119,Q119,R119,T119,U119,V119,X119,Y119,Z119,AA119,AC119,AD119,AF119,AG119)*Valores!$C$104</f>
        <v>57060.624</v>
      </c>
      <c r="AI119" s="125">
        <f t="shared" si="16"/>
        <v>627666.864</v>
      </c>
      <c r="AJ119" s="125">
        <f>Valores!$C$31</f>
        <v>35000</v>
      </c>
      <c r="AK119" s="125">
        <v>0</v>
      </c>
      <c r="AL119" s="125">
        <f>Valores!$C$89</f>
        <v>0</v>
      </c>
      <c r="AM119" s="125">
        <f>Valores!C$39*B119</f>
        <v>0</v>
      </c>
      <c r="AN119" s="125">
        <f>IF($F$3="NO",0,Valores!$C$57)</f>
        <v>0</v>
      </c>
      <c r="AO119" s="125">
        <f t="shared" si="14"/>
        <v>35000</v>
      </c>
      <c r="AP119" s="125">
        <f>AI119*Valores!$C$72</f>
        <v>-69043.35504</v>
      </c>
      <c r="AQ119" s="125">
        <f>IF(AI119&lt;Valores!$E$73,-0.02,IF(AI119&lt;Valores!$F$73,-0.03,-0.04))*AI119</f>
        <v>-12553.33728</v>
      </c>
      <c r="AR119" s="125">
        <f>AI119*Valores!$C$75</f>
        <v>-34521.67752</v>
      </c>
      <c r="AS119" s="125">
        <f>Valores!$C$102</f>
        <v>-1270.16</v>
      </c>
      <c r="AT119" s="125">
        <f>IF($F$5=0,Valores!$C$103,(Valores!$C$103+$F$5*(Valores!$C$103)))</f>
        <v>-11714</v>
      </c>
      <c r="AU119" s="125">
        <f t="shared" si="17"/>
        <v>533564.33416</v>
      </c>
      <c r="AV119" s="125">
        <f t="shared" si="11"/>
        <v>-69043.35504</v>
      </c>
      <c r="AW119" s="125">
        <f t="shared" si="18"/>
        <v>-12553.33728</v>
      </c>
      <c r="AX119" s="125">
        <f>AI119*Valores!$C$76</f>
        <v>-16947.005328</v>
      </c>
      <c r="AY119" s="125">
        <f>AI119*Valores!$C$77</f>
        <v>-1883.0005919999999</v>
      </c>
      <c r="AZ119" s="125">
        <f t="shared" si="15"/>
        <v>562240.16576</v>
      </c>
      <c r="BA119" s="125">
        <f>AI119*Valores!$C$79</f>
        <v>100426.69824</v>
      </c>
      <c r="BB119" s="125">
        <f>AI119*Valores!$C$80</f>
        <v>43936.68048</v>
      </c>
      <c r="BC119" s="125">
        <f>AI119*Valores!$C$81</f>
        <v>6276.66864</v>
      </c>
      <c r="BD119" s="125">
        <f>AI119*Valores!$C$83</f>
        <v>21968.34024</v>
      </c>
      <c r="BE119" s="125">
        <f>AI119*Valores!$C$85</f>
        <v>33894.010656</v>
      </c>
      <c r="BF119" s="125">
        <f>AI119*Valores!$C$84</f>
        <v>3766.0011839999997</v>
      </c>
      <c r="BG119" s="126"/>
      <c r="BH119" s="126">
        <v>30</v>
      </c>
      <c r="BI119" s="123" t="s">
        <v>4</v>
      </c>
    </row>
    <row r="120" spans="1:61" s="110" customFormat="1" ht="11.25" customHeight="1">
      <c r="A120" s="123" t="s">
        <v>325</v>
      </c>
      <c r="B120" s="123">
        <v>1</v>
      </c>
      <c r="C120" s="126">
        <v>113</v>
      </c>
      <c r="D120" s="124" t="s">
        <v>326</v>
      </c>
      <c r="E120" s="192">
        <v>76</v>
      </c>
      <c r="F120" s="125">
        <f>ROUND(E120*Valores!$C$2,2)</f>
        <v>6291.28</v>
      </c>
      <c r="G120" s="192">
        <v>1954</v>
      </c>
      <c r="H120" s="125">
        <f>ROUND(G120*Valores!$C$2,2)</f>
        <v>161752.12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59203.3</v>
      </c>
      <c r="N120" s="125">
        <f t="shared" si="12"/>
        <v>0</v>
      </c>
      <c r="O120" s="125">
        <f>Valores!$C$9</f>
        <v>104016.7</v>
      </c>
      <c r="P120" s="125">
        <f>Valores!$D$5</f>
        <v>42317.14</v>
      </c>
      <c r="Q120" s="125">
        <f>Valores!$C$22</f>
        <v>37751.3</v>
      </c>
      <c r="R120" s="125">
        <f>IF($F$4="NO",Valores!$C$45,Valores!$C$45/2)</f>
        <v>29395.49</v>
      </c>
      <c r="S120" s="125">
        <f>Valores!$C$19</f>
        <v>39374.32</v>
      </c>
      <c r="T120" s="125">
        <f t="shared" si="19"/>
        <v>39374.32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Valores!$C$96</f>
        <v>57944.18</v>
      </c>
      <c r="AA120" s="125">
        <f>Valores!$C$25</f>
        <v>1730.69</v>
      </c>
      <c r="AB120" s="214">
        <v>0</v>
      </c>
      <c r="AC120" s="125">
        <f t="shared" si="13"/>
        <v>0</v>
      </c>
      <c r="AD120" s="125">
        <f>Valores!$C$26</f>
        <v>1730.69</v>
      </c>
      <c r="AE120" s="192">
        <v>0</v>
      </c>
      <c r="AF120" s="125">
        <f>ROUND(AE120*Valores!$C$2,2)</f>
        <v>0</v>
      </c>
      <c r="AG120" s="125">
        <f>ROUND(IF($F$4="NO",Valores!$C$64,Valores!$C$64/2),2)</f>
        <v>19786.28</v>
      </c>
      <c r="AH120" s="125">
        <f>SUM(F120,H120,J120,L120,M120,N120,O120,P120,Q120,R120,T120,U120,V120,X120,Y120,Z120,AA120,AC120,AD120,AF120,AG120)*Valores!$C$104</f>
        <v>56129.349</v>
      </c>
      <c r="AI120" s="125">
        <f t="shared" si="16"/>
        <v>617422.839</v>
      </c>
      <c r="AJ120" s="125">
        <f>Valores!$C$31</f>
        <v>35000</v>
      </c>
      <c r="AK120" s="125">
        <v>0</v>
      </c>
      <c r="AL120" s="125">
        <f>Valores!$C$89</f>
        <v>0</v>
      </c>
      <c r="AM120" s="125">
        <f>Valores!C$39*B120</f>
        <v>0</v>
      </c>
      <c r="AN120" s="125">
        <f>IF($F$3="NO",0,Valores!$C$57)</f>
        <v>0</v>
      </c>
      <c r="AO120" s="125">
        <f t="shared" si="14"/>
        <v>35000</v>
      </c>
      <c r="AP120" s="125">
        <f>AI120*Valores!$C$72</f>
        <v>-67916.51229</v>
      </c>
      <c r="AQ120" s="125">
        <f>IF(AI120&lt;Valores!$E$73,-0.02,IF(AI120&lt;Valores!$F$73,-0.03,-0.04))*AI120</f>
        <v>-12348.45678</v>
      </c>
      <c r="AR120" s="125">
        <f>AI120*Valores!$C$75</f>
        <v>-33958.256145</v>
      </c>
      <c r="AS120" s="125">
        <f>Valores!$C$102</f>
        <v>-1270.16</v>
      </c>
      <c r="AT120" s="125">
        <f>IF($F$5=0,Valores!$C$103,(Valores!$C$103+$F$5*(Valores!$C$103)))</f>
        <v>-11714</v>
      </c>
      <c r="AU120" s="125">
        <f t="shared" si="17"/>
        <v>525215.453785</v>
      </c>
      <c r="AV120" s="125">
        <f t="shared" si="11"/>
        <v>-67916.51229</v>
      </c>
      <c r="AW120" s="125">
        <f t="shared" si="18"/>
        <v>-12348.45678</v>
      </c>
      <c r="AX120" s="125">
        <f>AI120*Valores!$C$76</f>
        <v>-16670.416653</v>
      </c>
      <c r="AY120" s="125">
        <f>AI120*Valores!$C$77</f>
        <v>-1852.2685170000002</v>
      </c>
      <c r="AZ120" s="125">
        <f t="shared" si="15"/>
        <v>553635.1847600001</v>
      </c>
      <c r="BA120" s="125">
        <f>AI120*Valores!$C$79</f>
        <v>98787.65424</v>
      </c>
      <c r="BB120" s="125">
        <f>AI120*Valores!$C$80</f>
        <v>43219.598730000005</v>
      </c>
      <c r="BC120" s="125">
        <f>AI120*Valores!$C$81</f>
        <v>6174.22839</v>
      </c>
      <c r="BD120" s="125">
        <f>AI120*Valores!$C$83</f>
        <v>21609.799365000003</v>
      </c>
      <c r="BE120" s="125">
        <f>AI120*Valores!$C$85</f>
        <v>33340.833306</v>
      </c>
      <c r="BF120" s="125">
        <f>AI120*Valores!$C$84</f>
        <v>3704.5370340000004</v>
      </c>
      <c r="BG120" s="126"/>
      <c r="BH120" s="126">
        <v>30</v>
      </c>
      <c r="BI120" s="123" t="s">
        <v>4</v>
      </c>
    </row>
    <row r="121" spans="1:61" s="110" customFormat="1" ht="11.25" customHeight="1">
      <c r="A121" s="123" t="s">
        <v>327</v>
      </c>
      <c r="B121" s="123">
        <v>1</v>
      </c>
      <c r="C121" s="126">
        <v>114</v>
      </c>
      <c r="D121" s="124" t="s">
        <v>328</v>
      </c>
      <c r="E121" s="192">
        <v>274</v>
      </c>
      <c r="F121" s="125">
        <f>ROUND(E121*Valores!$C$2,2)</f>
        <v>22681.72</v>
      </c>
      <c r="G121" s="192">
        <v>1163</v>
      </c>
      <c r="H121" s="125">
        <f>ROUND(G121*Valores!$C$2,2)</f>
        <v>96273.14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46931.17</v>
      </c>
      <c r="N121" s="125">
        <f t="shared" si="12"/>
        <v>0</v>
      </c>
      <c r="O121" s="125">
        <f>Valores!$C$9</f>
        <v>104016.7</v>
      </c>
      <c r="P121" s="125">
        <f>Valores!$D$5</f>
        <v>42317.14</v>
      </c>
      <c r="Q121" s="125">
        <f>Valores!$C$22</f>
        <v>37751.3</v>
      </c>
      <c r="R121" s="125">
        <f>IF($F$4="NO",Valores!$C$45,Valores!$C$45/2)</f>
        <v>29395.49</v>
      </c>
      <c r="S121" s="125">
        <f>Valores!$C$19</f>
        <v>39374.32</v>
      </c>
      <c r="T121" s="125">
        <f t="shared" si="19"/>
        <v>39374.32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Valores!$C$96</f>
        <v>57944.18</v>
      </c>
      <c r="AA121" s="125">
        <f>Valores!$C$25</f>
        <v>1730.69</v>
      </c>
      <c r="AB121" s="214">
        <v>0</v>
      </c>
      <c r="AC121" s="125">
        <f t="shared" si="13"/>
        <v>0</v>
      </c>
      <c r="AD121" s="125">
        <f>Valores!$C$26</f>
        <v>1730.69</v>
      </c>
      <c r="AE121" s="192">
        <v>0</v>
      </c>
      <c r="AF121" s="125">
        <f>ROUND(AE121*Valores!$C$2,2)</f>
        <v>0</v>
      </c>
      <c r="AG121" s="125">
        <f>ROUND(IF($F$4="NO",Valores!$C$64,Valores!$C$64/2),2)</f>
        <v>19786.28</v>
      </c>
      <c r="AH121" s="125">
        <f>SUM(F121,H121,J121,L121,M121,N121,O121,P121,Q121,R121,T121,U121,V121,X121,Y121,Z121,AA121,AC121,AD121,AF121,AG121)*Valores!$C$104</f>
        <v>49993.282</v>
      </c>
      <c r="AI121" s="125">
        <f t="shared" si="16"/>
        <v>549926.102</v>
      </c>
      <c r="AJ121" s="125">
        <f>Valores!$C$31</f>
        <v>35000</v>
      </c>
      <c r="AK121" s="125">
        <v>0</v>
      </c>
      <c r="AL121" s="125">
        <f>Valores!$C$89</f>
        <v>0</v>
      </c>
      <c r="AM121" s="125">
        <f>Valores!C$39*B121</f>
        <v>0</v>
      </c>
      <c r="AN121" s="125">
        <f>IF($F$3="NO",0,Valores!$C$57)</f>
        <v>0</v>
      </c>
      <c r="AO121" s="125">
        <f t="shared" si="14"/>
        <v>35000</v>
      </c>
      <c r="AP121" s="125">
        <f>AI121*Valores!$C$72</f>
        <v>-60491.87121999999</v>
      </c>
      <c r="AQ121" s="125">
        <f>IF(AI121&lt;Valores!$E$73,-0.02,IF(AI121&lt;Valores!$F$73,-0.03,-0.04))*AI121</f>
        <v>-10998.52204</v>
      </c>
      <c r="AR121" s="125">
        <f>AI121*Valores!$C$75</f>
        <v>-30245.935609999997</v>
      </c>
      <c r="AS121" s="125">
        <f>Valores!$C$102</f>
        <v>-1270.16</v>
      </c>
      <c r="AT121" s="125">
        <f>IF($F$5=0,Valores!$C$103,(Valores!$C$103+$F$5*(Valores!$C$103)))</f>
        <v>-11714</v>
      </c>
      <c r="AU121" s="125">
        <f t="shared" si="17"/>
        <v>470205.61312999995</v>
      </c>
      <c r="AV121" s="125">
        <f t="shared" si="11"/>
        <v>-60491.87121999999</v>
      </c>
      <c r="AW121" s="125">
        <f t="shared" si="18"/>
        <v>-10998.52204</v>
      </c>
      <c r="AX121" s="125">
        <f>AI121*Valores!$C$76</f>
        <v>-14848.004753999998</v>
      </c>
      <c r="AY121" s="125">
        <f>AI121*Valores!$C$77</f>
        <v>-1649.778306</v>
      </c>
      <c r="AZ121" s="125">
        <f t="shared" si="15"/>
        <v>496937.92568</v>
      </c>
      <c r="BA121" s="125">
        <f>AI121*Valores!$C$79</f>
        <v>87988.17632</v>
      </c>
      <c r="BB121" s="125">
        <f>AI121*Valores!$C$80</f>
        <v>38494.82714</v>
      </c>
      <c r="BC121" s="125">
        <f>AI121*Valores!$C$81</f>
        <v>5499.26102</v>
      </c>
      <c r="BD121" s="125">
        <f>AI121*Valores!$C$83</f>
        <v>19247.41357</v>
      </c>
      <c r="BE121" s="125">
        <f>AI121*Valores!$C$85</f>
        <v>29696.009507999996</v>
      </c>
      <c r="BF121" s="125">
        <f>AI121*Valores!$C$84</f>
        <v>3299.556612</v>
      </c>
      <c r="BG121" s="126"/>
      <c r="BH121" s="126">
        <v>30</v>
      </c>
      <c r="BI121" s="123" t="s">
        <v>4</v>
      </c>
    </row>
    <row r="122" spans="1:61" s="110" customFormat="1" ht="11.25" customHeight="1">
      <c r="A122" s="123" t="s">
        <v>329</v>
      </c>
      <c r="B122" s="123">
        <v>1</v>
      </c>
      <c r="C122" s="126">
        <v>115</v>
      </c>
      <c r="D122" s="124" t="s">
        <v>330</v>
      </c>
      <c r="E122" s="192">
        <v>2800</v>
      </c>
      <c r="F122" s="125">
        <f>ROUND(E122*Valores!$C$2,2)</f>
        <v>231784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76693.63</v>
      </c>
      <c r="N122" s="125">
        <f t="shared" si="12"/>
        <v>0</v>
      </c>
      <c r="O122" s="125">
        <f>Valores!$C$16</f>
        <v>71528.26</v>
      </c>
      <c r="P122" s="125">
        <f>Valores!$D$5</f>
        <v>42317.14</v>
      </c>
      <c r="Q122" s="125">
        <f>Valores!$C$22</f>
        <v>37751.3</v>
      </c>
      <c r="R122" s="125">
        <f>IF($F$4="NO",Valores!$C$47,Valores!$C$47/2)</f>
        <v>36018.74</v>
      </c>
      <c r="S122" s="125">
        <f>Valores!$C$20</f>
        <v>38971.76</v>
      </c>
      <c r="T122" s="125">
        <f t="shared" si="19"/>
        <v>38971.76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Valores!$C$96</f>
        <v>57944.18</v>
      </c>
      <c r="AA122" s="125">
        <f>Valores!$C$25</f>
        <v>1730.69</v>
      </c>
      <c r="AB122" s="214">
        <v>0</v>
      </c>
      <c r="AC122" s="125">
        <f t="shared" si="13"/>
        <v>0</v>
      </c>
      <c r="AD122" s="125">
        <f>Valores!$C$26</f>
        <v>1730.69</v>
      </c>
      <c r="AE122" s="192">
        <v>0</v>
      </c>
      <c r="AF122" s="125">
        <f>ROUND(AE122*Valores!$C$2,2)</f>
        <v>0</v>
      </c>
      <c r="AG122" s="125">
        <f>ROUND(IF($F$4="NO",Valores!$C$64,Valores!$C$64/2),2)</f>
        <v>19786.28</v>
      </c>
      <c r="AH122" s="125">
        <f>SUM(F122,H122,J122,L122,M122,N122,O122,P122,Q122,R122,T122,U122,V122,X122,Y122,Z122,AA122,AC122,AD122,AF122,AG122)*Valores!$C$104</f>
        <v>61625.666999999994</v>
      </c>
      <c r="AI122" s="125">
        <f t="shared" si="16"/>
        <v>677882.3369999999</v>
      </c>
      <c r="AJ122" s="125">
        <f>Valores!$C$32</f>
        <v>70000</v>
      </c>
      <c r="AK122" s="125">
        <v>0</v>
      </c>
      <c r="AL122" s="125">
        <f>Valores!$C$89</f>
        <v>0</v>
      </c>
      <c r="AM122" s="125">
        <f>Valores!C$39*B122</f>
        <v>0</v>
      </c>
      <c r="AN122" s="125">
        <f>IF($F$3="NO",0,Valores!$C$56)</f>
        <v>0</v>
      </c>
      <c r="AO122" s="125">
        <f t="shared" si="14"/>
        <v>70000</v>
      </c>
      <c r="AP122" s="125">
        <f>AI122*Valores!$C$72</f>
        <v>-74567.05707</v>
      </c>
      <c r="AQ122" s="125">
        <f>IF(AI122&lt;Valores!$E$73,-0.02,IF(AI122&lt;Valores!$F$73,-0.03,-0.04))*AI122</f>
        <v>-13557.646739999998</v>
      </c>
      <c r="AR122" s="125">
        <f>AI122*Valores!$C$75</f>
        <v>-37283.528535</v>
      </c>
      <c r="AS122" s="125">
        <f>Valores!$C$102</f>
        <v>-1270.16</v>
      </c>
      <c r="AT122" s="125">
        <f>IF($F$5=0,Valores!$C$103,(Valores!$C$103+$F$5*(Valores!$C$103)))</f>
        <v>-11714</v>
      </c>
      <c r="AU122" s="125">
        <f t="shared" si="17"/>
        <v>609489.944655</v>
      </c>
      <c r="AV122" s="125">
        <f t="shared" si="11"/>
        <v>-74567.05707</v>
      </c>
      <c r="AW122" s="125">
        <f t="shared" si="18"/>
        <v>-13557.646739999998</v>
      </c>
      <c r="AX122" s="125">
        <f>AI122*Valores!$C$76</f>
        <v>-18302.823098999997</v>
      </c>
      <c r="AY122" s="125">
        <f>AI122*Valores!$C$77</f>
        <v>-2033.6470109999998</v>
      </c>
      <c r="AZ122" s="125">
        <f t="shared" si="15"/>
        <v>639421.16308</v>
      </c>
      <c r="BA122" s="125">
        <f>AI122*Valores!$C$79</f>
        <v>108461.17391999999</v>
      </c>
      <c r="BB122" s="125">
        <f>AI122*Valores!$C$80</f>
        <v>47451.76359</v>
      </c>
      <c r="BC122" s="125">
        <f>AI122*Valores!$C$81</f>
        <v>6778.823369999999</v>
      </c>
      <c r="BD122" s="125">
        <f>AI122*Valores!$C$83</f>
        <v>23725.881795</v>
      </c>
      <c r="BE122" s="125">
        <f>AI122*Valores!$C$85</f>
        <v>36605.646197999995</v>
      </c>
      <c r="BF122" s="125">
        <f>AI122*Valores!$C$84</f>
        <v>4067.2940219999996</v>
      </c>
      <c r="BG122" s="126"/>
      <c r="BH122" s="126"/>
      <c r="BI122" s="123" t="s">
        <v>4</v>
      </c>
    </row>
    <row r="123" spans="1:61" s="110" customFormat="1" ht="11.25" customHeight="1">
      <c r="A123" s="123" t="s">
        <v>331</v>
      </c>
      <c r="B123" s="123">
        <v>1</v>
      </c>
      <c r="C123" s="126">
        <v>116</v>
      </c>
      <c r="D123" s="124" t="s">
        <v>332</v>
      </c>
      <c r="E123" s="192">
        <v>2850</v>
      </c>
      <c r="F123" s="125">
        <f>ROUND(E123*Valores!$C$2,2)</f>
        <v>235923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79782.63</v>
      </c>
      <c r="N123" s="125">
        <f t="shared" si="12"/>
        <v>0</v>
      </c>
      <c r="O123" s="125">
        <f>Valores!$C$9</f>
        <v>104016.7</v>
      </c>
      <c r="P123" s="125">
        <f>Valores!$D$5</f>
        <v>42317.14</v>
      </c>
      <c r="Q123" s="125">
        <f>Valores!$C$22</f>
        <v>37751.3</v>
      </c>
      <c r="R123" s="125">
        <f>IF($F$4="NO",Valores!$C$48,Valores!$C$48/2)</f>
        <v>44235.76</v>
      </c>
      <c r="S123" s="125">
        <f>Valores!$C$20</f>
        <v>38971.76</v>
      </c>
      <c r="T123" s="125">
        <f t="shared" si="19"/>
        <v>38971.76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Valores!$C$98</f>
        <v>115888.34</v>
      </c>
      <c r="AA123" s="125">
        <f>Valores!$C$25</f>
        <v>1730.69</v>
      </c>
      <c r="AB123" s="214">
        <v>0</v>
      </c>
      <c r="AC123" s="125">
        <f t="shared" si="13"/>
        <v>0</v>
      </c>
      <c r="AD123" s="125">
        <f>Valores!$C$26</f>
        <v>1730.69</v>
      </c>
      <c r="AE123" s="192">
        <v>0</v>
      </c>
      <c r="AF123" s="125">
        <f>ROUND(AE123*Valores!$C$2,2)</f>
        <v>0</v>
      </c>
      <c r="AG123" s="125">
        <f>ROUND(IF($F$4="NO",Valores!$C$64,Valores!$C$64/2),2)</f>
        <v>19786.28</v>
      </c>
      <c r="AH123" s="125">
        <f>SUM(F123,H123,J123,L123,M123,N123,O123,P123,Q123,R123,T123,U123,V123,X123,Y123,Z123,AA123,AC123,AD123,AF123,AG123)*Valores!$C$104</f>
        <v>72213.42899999999</v>
      </c>
      <c r="AI123" s="125">
        <f t="shared" si="16"/>
        <v>794347.7189999999</v>
      </c>
      <c r="AJ123" s="125">
        <f>Valores!$C$32</f>
        <v>70000</v>
      </c>
      <c r="AK123" s="125">
        <v>0</v>
      </c>
      <c r="AL123" s="125">
        <f>Valores!$C$91</f>
        <v>0</v>
      </c>
      <c r="AM123" s="125">
        <f>Valores!C$39*B123</f>
        <v>0</v>
      </c>
      <c r="AN123" s="125">
        <f>IF($F$3="NO",0,Valores!$C$56)</f>
        <v>0</v>
      </c>
      <c r="AO123" s="125">
        <f t="shared" si="14"/>
        <v>70000</v>
      </c>
      <c r="AP123" s="125">
        <f>AI123*Valores!$C$72</f>
        <v>-87378.24909</v>
      </c>
      <c r="AQ123" s="125">
        <f>IF(AI123&lt;Valores!$E$73,-0.02,IF(AI123&lt;Valores!$F$73,-0.03,-0.04))*AI123</f>
        <v>-23830.431569999997</v>
      </c>
      <c r="AR123" s="125">
        <f>AI123*Valores!$C$75</f>
        <v>-43689.124545</v>
      </c>
      <c r="AS123" s="125">
        <f>Valores!$C$102</f>
        <v>-1270.16</v>
      </c>
      <c r="AT123" s="125">
        <f>IF($F$5=0,Valores!$C$103,(Valores!$C$103+$F$5*(Valores!$C$103)))</f>
        <v>-11714</v>
      </c>
      <c r="AU123" s="125">
        <f t="shared" si="17"/>
        <v>696465.7537949999</v>
      </c>
      <c r="AV123" s="125">
        <f t="shared" si="11"/>
        <v>-87378.24909</v>
      </c>
      <c r="AW123" s="125">
        <f t="shared" si="18"/>
        <v>-23830.431569999997</v>
      </c>
      <c r="AX123" s="125">
        <f>AI123*Valores!$C$76</f>
        <v>-21447.388412999997</v>
      </c>
      <c r="AY123" s="125">
        <f>AI123*Valores!$C$77</f>
        <v>-2383.0431569999996</v>
      </c>
      <c r="AZ123" s="125">
        <f t="shared" si="15"/>
        <v>729308.60677</v>
      </c>
      <c r="BA123" s="125">
        <f>AI123*Valores!$C$79</f>
        <v>127095.63504</v>
      </c>
      <c r="BB123" s="125">
        <f>AI123*Valores!$C$80</f>
        <v>55604.34033</v>
      </c>
      <c r="BC123" s="125">
        <f>AI123*Valores!$C$81</f>
        <v>7943.47719</v>
      </c>
      <c r="BD123" s="125">
        <f>AI123*Valores!$C$83</f>
        <v>27802.170165</v>
      </c>
      <c r="BE123" s="125">
        <f>AI123*Valores!$C$85</f>
        <v>42894.776825999994</v>
      </c>
      <c r="BF123" s="125">
        <f>AI123*Valores!$C$84</f>
        <v>4766.086313999999</v>
      </c>
      <c r="BG123" s="126"/>
      <c r="BH123" s="126">
        <v>40</v>
      </c>
      <c r="BI123" s="123" t="s">
        <v>4</v>
      </c>
    </row>
    <row r="124" spans="1:61" s="110" customFormat="1" ht="11.25" customHeight="1">
      <c r="A124" s="123" t="s">
        <v>333</v>
      </c>
      <c r="B124" s="123">
        <v>1</v>
      </c>
      <c r="C124" s="126">
        <v>117</v>
      </c>
      <c r="D124" s="124" t="s">
        <v>334</v>
      </c>
      <c r="E124" s="192">
        <v>1735</v>
      </c>
      <c r="F124" s="125">
        <f>ROUND(E124*Valores!$C$2,2)</f>
        <v>143623.3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52583.58</v>
      </c>
      <c r="N124" s="125">
        <f t="shared" si="12"/>
        <v>0</v>
      </c>
      <c r="O124" s="125">
        <f>Valores!$C$16</f>
        <v>71528.26</v>
      </c>
      <c r="P124" s="125">
        <f>Valores!$D$5</f>
        <v>42317.14</v>
      </c>
      <c r="Q124" s="125">
        <v>0</v>
      </c>
      <c r="R124" s="125">
        <f>IF($F$4="NO",Valores!$C$44,Valores!$C$44/2)</f>
        <v>27739.24</v>
      </c>
      <c r="S124" s="125">
        <f>Valores!$C$20</f>
        <v>38971.76</v>
      </c>
      <c r="T124" s="125">
        <f t="shared" si="19"/>
        <v>38971.76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Valores!$C$96</f>
        <v>57944.18</v>
      </c>
      <c r="AA124" s="125">
        <f>Valores!$C$25</f>
        <v>1730.69</v>
      </c>
      <c r="AB124" s="214">
        <v>0</v>
      </c>
      <c r="AC124" s="125">
        <f t="shared" si="13"/>
        <v>0</v>
      </c>
      <c r="AD124" s="125">
        <f>Valores!$C$26</f>
        <v>1730.69</v>
      </c>
      <c r="AE124" s="192">
        <v>0</v>
      </c>
      <c r="AF124" s="125">
        <f>ROUND(AE124*Valores!$C$2,2)</f>
        <v>0</v>
      </c>
      <c r="AG124" s="125">
        <f>ROUND(IF($F$4="NO",Valores!$C$64,Valores!$C$64/2),2)</f>
        <v>19786.28</v>
      </c>
      <c r="AH124" s="125">
        <f>SUM(F124,H124,J124,L124,M124,N124,O124,P124,Q124,R124,T124,U124,V124,X124,Y124,Z124,AA124,AC124,AD124,AF124,AG124)*Valores!$C$104</f>
        <v>45795.512</v>
      </c>
      <c r="AI124" s="125">
        <f t="shared" si="16"/>
        <v>503750.632</v>
      </c>
      <c r="AJ124" s="125">
        <f>Valores!$C$31</f>
        <v>35000</v>
      </c>
      <c r="AK124" s="125">
        <v>0</v>
      </c>
      <c r="AL124" s="125">
        <f>Valores!$C$89</f>
        <v>0</v>
      </c>
      <c r="AM124" s="125">
        <f>Valores!C$39*B124</f>
        <v>0</v>
      </c>
      <c r="AN124" s="125">
        <f>IF($F$3="NO",0,Valores!$C$57)</f>
        <v>0</v>
      </c>
      <c r="AO124" s="125">
        <f t="shared" si="14"/>
        <v>35000</v>
      </c>
      <c r="AP124" s="125">
        <f>AI124*Valores!$C$72</f>
        <v>-55412.56952</v>
      </c>
      <c r="AQ124" s="125">
        <f>IF(AI124&lt;Valores!$E$73,-0.02,IF(AI124&lt;Valores!$F$73,-0.03,-0.04))*AI124</f>
        <v>-10075.012639999999</v>
      </c>
      <c r="AR124" s="125">
        <f>AI124*Valores!$C$75</f>
        <v>-27706.28476</v>
      </c>
      <c r="AS124" s="125">
        <f>Valores!$C$102</f>
        <v>-1270.16</v>
      </c>
      <c r="AT124" s="125">
        <f>IF($F$5=0,Valores!$C$103,(Valores!$C$103+$F$5*(Valores!$C$103)))</f>
        <v>-11714</v>
      </c>
      <c r="AU124" s="125">
        <f t="shared" si="17"/>
        <v>432572.60508</v>
      </c>
      <c r="AV124" s="125">
        <f t="shared" si="11"/>
        <v>-55412.56952</v>
      </c>
      <c r="AW124" s="125">
        <f t="shared" si="18"/>
        <v>-10075.012639999999</v>
      </c>
      <c r="AX124" s="125">
        <f>AI124*Valores!$C$76</f>
        <v>-13601.267064</v>
      </c>
      <c r="AY124" s="125">
        <f>AI124*Valores!$C$77</f>
        <v>-1511.251896</v>
      </c>
      <c r="AZ124" s="125">
        <f t="shared" si="15"/>
        <v>458150.53088</v>
      </c>
      <c r="BA124" s="125">
        <f>AI124*Valores!$C$79</f>
        <v>80600.10111999999</v>
      </c>
      <c r="BB124" s="125">
        <f>AI124*Valores!$C$80</f>
        <v>35262.54424</v>
      </c>
      <c r="BC124" s="125">
        <f>AI124*Valores!$C$81</f>
        <v>5037.5063199999995</v>
      </c>
      <c r="BD124" s="125">
        <f>AI124*Valores!$C$83</f>
        <v>17631.27212</v>
      </c>
      <c r="BE124" s="125">
        <f>AI124*Valores!$C$85</f>
        <v>27202.534128</v>
      </c>
      <c r="BF124" s="125">
        <f>AI124*Valores!$C$84</f>
        <v>3022.503792</v>
      </c>
      <c r="BG124" s="126"/>
      <c r="BH124" s="126">
        <v>40</v>
      </c>
      <c r="BI124" s="123" t="s">
        <v>4</v>
      </c>
    </row>
    <row r="125" spans="1:61" s="110" customFormat="1" ht="11.25" customHeight="1">
      <c r="A125" s="123" t="s">
        <v>335</v>
      </c>
      <c r="B125" s="123">
        <v>1</v>
      </c>
      <c r="C125" s="126">
        <v>118</v>
      </c>
      <c r="D125" s="124" t="s">
        <v>336</v>
      </c>
      <c r="E125" s="192">
        <v>72</v>
      </c>
      <c r="F125" s="125">
        <f>ROUND(E125*Valores!$C$2,2)</f>
        <v>5960.16</v>
      </c>
      <c r="G125" s="192">
        <v>1590</v>
      </c>
      <c r="H125" s="125">
        <f>ROUND(G125*Valores!$C$2,2)</f>
        <v>131620.2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51072.84</v>
      </c>
      <c r="N125" s="125">
        <f t="shared" si="12"/>
        <v>0</v>
      </c>
      <c r="O125" s="125">
        <f>Valores!$C$16</f>
        <v>71528.26</v>
      </c>
      <c r="P125" s="125">
        <f>Valores!$D$5</f>
        <v>42317.14</v>
      </c>
      <c r="Q125" s="125">
        <f>Valores!$C$22</f>
        <v>37751.3</v>
      </c>
      <c r="R125" s="125">
        <f>IF($F$4="NO",Valores!$C$44,Valores!$C$44/2)</f>
        <v>27739.24</v>
      </c>
      <c r="S125" s="125">
        <f>Valores!$C$20</f>
        <v>38971.76</v>
      </c>
      <c r="T125" s="125">
        <f t="shared" si="19"/>
        <v>38971.76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Valores!$C$96</f>
        <v>57944.18</v>
      </c>
      <c r="AA125" s="125">
        <f>Valores!$C$25</f>
        <v>1730.69</v>
      </c>
      <c r="AB125" s="214">
        <v>0</v>
      </c>
      <c r="AC125" s="125">
        <f t="shared" si="13"/>
        <v>0</v>
      </c>
      <c r="AD125" s="125">
        <f>Valores!$C$26</f>
        <v>1730.69</v>
      </c>
      <c r="AE125" s="192">
        <v>0</v>
      </c>
      <c r="AF125" s="125">
        <f>ROUND(AE125*Valores!$C$2,2)</f>
        <v>0</v>
      </c>
      <c r="AG125" s="125">
        <f>ROUND(IF($F$4="NO",Valores!$C$64,Valores!$C$64/2),2)</f>
        <v>19786.28</v>
      </c>
      <c r="AH125" s="125">
        <f>SUM(F125,H125,J125,L125,M125,N125,O125,P125,Q125,R125,T125,U125,V125,X125,Y125,Z125,AA125,AC125,AD125,AF125,AG125)*Valores!$C$104</f>
        <v>48815.274000000005</v>
      </c>
      <c r="AI125" s="125">
        <f t="shared" si="16"/>
        <v>536968.014</v>
      </c>
      <c r="AJ125" s="125">
        <f>Valores!$C$31</f>
        <v>35000</v>
      </c>
      <c r="AK125" s="125">
        <v>0</v>
      </c>
      <c r="AL125" s="125">
        <f>Valores!$C$89</f>
        <v>0</v>
      </c>
      <c r="AM125" s="125">
        <f>Valores!C$39*B125</f>
        <v>0</v>
      </c>
      <c r="AN125" s="125">
        <f>IF($F$3="NO",0,Valores!$C$57)</f>
        <v>0</v>
      </c>
      <c r="AO125" s="125">
        <f t="shared" si="14"/>
        <v>35000</v>
      </c>
      <c r="AP125" s="125">
        <f>AI125*Valores!$C$72</f>
        <v>-59066.48153999999</v>
      </c>
      <c r="AQ125" s="125">
        <f>IF(AI125&lt;Valores!$E$73,-0.02,IF(AI125&lt;Valores!$F$73,-0.03,-0.04))*AI125</f>
        <v>-10739.360279999999</v>
      </c>
      <c r="AR125" s="125">
        <f>AI125*Valores!$C$75</f>
        <v>-29533.240769999997</v>
      </c>
      <c r="AS125" s="125">
        <f>Valores!$C$102</f>
        <v>-1270.16</v>
      </c>
      <c r="AT125" s="125">
        <f>IF($F$5=0,Valores!$C$103,(Valores!$C$103+$F$5*(Valores!$C$103)))</f>
        <v>-11714</v>
      </c>
      <c r="AU125" s="125">
        <f t="shared" si="17"/>
        <v>459644.77141</v>
      </c>
      <c r="AV125" s="125">
        <f t="shared" si="11"/>
        <v>-59066.48153999999</v>
      </c>
      <c r="AW125" s="125">
        <f t="shared" si="18"/>
        <v>-10739.360279999999</v>
      </c>
      <c r="AX125" s="125">
        <f>AI125*Valores!$C$76</f>
        <v>-14498.136378</v>
      </c>
      <c r="AY125" s="125">
        <f>AI125*Valores!$C$77</f>
        <v>-1610.904042</v>
      </c>
      <c r="AZ125" s="125">
        <f t="shared" si="15"/>
        <v>486053.13176</v>
      </c>
      <c r="BA125" s="125">
        <f>AI125*Valores!$C$79</f>
        <v>85914.88223999999</v>
      </c>
      <c r="BB125" s="125">
        <f>AI125*Valores!$C$80</f>
        <v>37587.76098</v>
      </c>
      <c r="BC125" s="125">
        <f>AI125*Valores!$C$81</f>
        <v>5369.6801399999995</v>
      </c>
      <c r="BD125" s="125">
        <f>AI125*Valores!$C$83</f>
        <v>18793.88049</v>
      </c>
      <c r="BE125" s="125">
        <f>AI125*Valores!$C$85</f>
        <v>28996.272756</v>
      </c>
      <c r="BF125" s="125">
        <f>AI125*Valores!$C$84</f>
        <v>3221.808084</v>
      </c>
      <c r="BG125" s="126"/>
      <c r="BH125" s="126">
        <v>25</v>
      </c>
      <c r="BI125" s="123" t="s">
        <v>4</v>
      </c>
    </row>
    <row r="126" spans="1:61" s="110" customFormat="1" ht="11.25" customHeight="1">
      <c r="A126" s="123" t="s">
        <v>337</v>
      </c>
      <c r="B126" s="123">
        <v>1</v>
      </c>
      <c r="C126" s="126">
        <v>119</v>
      </c>
      <c r="D126" s="124" t="s">
        <v>338</v>
      </c>
      <c r="E126" s="192">
        <v>72</v>
      </c>
      <c r="F126" s="125">
        <f>ROUND(E126*Valores!$C$2,2)</f>
        <v>5960.16</v>
      </c>
      <c r="G126" s="192">
        <v>1590</v>
      </c>
      <c r="H126" s="125">
        <f>ROUND(G126*Valores!$C$2,2)</f>
        <v>131620.2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51072.84</v>
      </c>
      <c r="N126" s="125">
        <f t="shared" si="12"/>
        <v>0</v>
      </c>
      <c r="O126" s="125">
        <f>Valores!$C$16</f>
        <v>71528.26</v>
      </c>
      <c r="P126" s="125">
        <f>Valores!$D$5</f>
        <v>42317.14</v>
      </c>
      <c r="Q126" s="125">
        <f>Valores!$C$22</f>
        <v>37751.3</v>
      </c>
      <c r="R126" s="125">
        <f>IF($F$4="NO",Valores!$C$44,Valores!$C$44/2)</f>
        <v>27739.24</v>
      </c>
      <c r="S126" s="125">
        <f>Valores!$C$20</f>
        <v>38971.76</v>
      </c>
      <c r="T126" s="125">
        <f t="shared" si="19"/>
        <v>38971.76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Valores!$C$96</f>
        <v>57944.18</v>
      </c>
      <c r="AA126" s="125">
        <f>Valores!$C$25</f>
        <v>1730.69</v>
      </c>
      <c r="AB126" s="214">
        <v>0</v>
      </c>
      <c r="AC126" s="125">
        <f t="shared" si="13"/>
        <v>0</v>
      </c>
      <c r="AD126" s="125">
        <f>Valores!$C$26</f>
        <v>1730.69</v>
      </c>
      <c r="AE126" s="192">
        <v>94</v>
      </c>
      <c r="AF126" s="125">
        <f>ROUND(AE126*Valores!$C$2,2)</f>
        <v>7781.32</v>
      </c>
      <c r="AG126" s="125">
        <f>ROUND(IF($F$4="NO",Valores!$C$64,Valores!$C$64/2),2)</f>
        <v>19786.28</v>
      </c>
      <c r="AH126" s="125">
        <f>SUM(F126,H126,J126,L126,M126,N126,O126,P126,Q126,R126,T126,U126,V126,X126,Y126,Z126,AA126,AC126,AD126,AF126,AG126)*Valores!$C$104</f>
        <v>49593.40600000001</v>
      </c>
      <c r="AI126" s="125">
        <f t="shared" si="16"/>
        <v>545527.466</v>
      </c>
      <c r="AJ126" s="125">
        <f>Valores!$C$31</f>
        <v>35000</v>
      </c>
      <c r="AK126" s="125">
        <v>0</v>
      </c>
      <c r="AL126" s="125">
        <f>Valores!$C$89</f>
        <v>0</v>
      </c>
      <c r="AM126" s="125">
        <f>Valores!C$39*B126</f>
        <v>0</v>
      </c>
      <c r="AN126" s="125">
        <f>IF($F$3="NO",0,Valores!$C$57)</f>
        <v>0</v>
      </c>
      <c r="AO126" s="125">
        <f t="shared" si="14"/>
        <v>35000</v>
      </c>
      <c r="AP126" s="125">
        <f>AI126*Valores!$C$72</f>
        <v>-60008.02126</v>
      </c>
      <c r="AQ126" s="125">
        <f>IF(AI126&lt;Valores!$E$73,-0.02,IF(AI126&lt;Valores!$F$73,-0.03,-0.04))*AI126</f>
        <v>-10910.54932</v>
      </c>
      <c r="AR126" s="125">
        <f>AI126*Valores!$C$75</f>
        <v>-30004.01063</v>
      </c>
      <c r="AS126" s="125">
        <f>Valores!$C$102</f>
        <v>-1270.16</v>
      </c>
      <c r="AT126" s="125">
        <f>IF($F$5=0,Valores!$C$103,(Valores!$C$103+$F$5*(Valores!$C$103)))</f>
        <v>-11714</v>
      </c>
      <c r="AU126" s="125">
        <f t="shared" si="17"/>
        <v>466620.72479</v>
      </c>
      <c r="AV126" s="125">
        <f t="shared" si="11"/>
        <v>-60008.02126</v>
      </c>
      <c r="AW126" s="125">
        <f t="shared" si="18"/>
        <v>-10910.54932</v>
      </c>
      <c r="AX126" s="125">
        <f>AI126*Valores!$C$76</f>
        <v>-14729.241582</v>
      </c>
      <c r="AY126" s="125">
        <f>AI126*Valores!$C$77</f>
        <v>-1636.582398</v>
      </c>
      <c r="AZ126" s="125">
        <f t="shared" si="15"/>
        <v>493243.07144</v>
      </c>
      <c r="BA126" s="125">
        <f>AI126*Valores!$C$79</f>
        <v>87284.39456</v>
      </c>
      <c r="BB126" s="125">
        <f>AI126*Valores!$C$80</f>
        <v>38186.922620000005</v>
      </c>
      <c r="BC126" s="125">
        <f>AI126*Valores!$C$81</f>
        <v>5455.27466</v>
      </c>
      <c r="BD126" s="125">
        <f>AI126*Valores!$C$83</f>
        <v>19093.461310000002</v>
      </c>
      <c r="BE126" s="125">
        <f>AI126*Valores!$C$85</f>
        <v>29458.483164</v>
      </c>
      <c r="BF126" s="125">
        <f>AI126*Valores!$C$84</f>
        <v>3273.164796</v>
      </c>
      <c r="BG126" s="126"/>
      <c r="BH126" s="126">
        <v>20</v>
      </c>
      <c r="BI126" s="123" t="s">
        <v>4</v>
      </c>
    </row>
    <row r="127" spans="1:61" s="110" customFormat="1" ht="11.25" customHeight="1">
      <c r="A127" s="123" t="s">
        <v>339</v>
      </c>
      <c r="B127" s="123">
        <v>1</v>
      </c>
      <c r="C127" s="126">
        <v>120</v>
      </c>
      <c r="D127" s="124" t="s">
        <v>340</v>
      </c>
      <c r="E127" s="192">
        <v>77</v>
      </c>
      <c r="F127" s="125">
        <f>ROUND(E127*Valores!$C$2,2)</f>
        <v>6374.06</v>
      </c>
      <c r="G127" s="192">
        <v>2043</v>
      </c>
      <c r="H127" s="125">
        <f>ROUND(G127*Valores!$C$2,2)</f>
        <v>169119.54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61065.85</v>
      </c>
      <c r="N127" s="125">
        <f t="shared" si="12"/>
        <v>0</v>
      </c>
      <c r="O127" s="125">
        <f>Valores!$C$11</f>
        <v>73808.02</v>
      </c>
      <c r="P127" s="125">
        <f>Valores!$D$5</f>
        <v>42317.14</v>
      </c>
      <c r="Q127" s="125">
        <f>Valores!$C$22</f>
        <v>37751.3</v>
      </c>
      <c r="R127" s="125">
        <f>IF($F$4="NO",Valores!$C$45,Valores!$C$45/2)</f>
        <v>29395.49</v>
      </c>
      <c r="S127" s="125">
        <f>Valores!$C$19</f>
        <v>39374.32</v>
      </c>
      <c r="T127" s="125">
        <f t="shared" si="19"/>
        <v>39374.32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Valores!$C$96</f>
        <v>57944.18</v>
      </c>
      <c r="AA127" s="125">
        <f>Valores!$C$25</f>
        <v>1730.69</v>
      </c>
      <c r="AB127" s="214">
        <v>0</v>
      </c>
      <c r="AC127" s="125">
        <f t="shared" si="13"/>
        <v>0</v>
      </c>
      <c r="AD127" s="125">
        <f>Valores!$C$26</f>
        <v>1730.69</v>
      </c>
      <c r="AE127" s="192">
        <v>0</v>
      </c>
      <c r="AF127" s="125">
        <f>ROUND(AE127*Valores!$C$2,2)</f>
        <v>0</v>
      </c>
      <c r="AG127" s="125">
        <f>ROUND(IF($F$4="NO",Valores!$C$64,Valores!$C$64/2),2)</f>
        <v>19786.28</v>
      </c>
      <c r="AH127" s="125">
        <f>SUM(F127,H127,J127,L127,M127,N127,O127,P127,Q127,R127,T127,U127,V127,X127,Y127,Z127,AA127,AC127,AD127,AF127,AG127)*Valores!$C$104</f>
        <v>54039.75600000001</v>
      </c>
      <c r="AI127" s="125">
        <f t="shared" si="16"/>
        <v>594437.3160000001</v>
      </c>
      <c r="AJ127" s="125">
        <f>Valores!$C$31</f>
        <v>35000</v>
      </c>
      <c r="AK127" s="125">
        <v>0</v>
      </c>
      <c r="AL127" s="125">
        <f>Valores!$C$89</f>
        <v>0</v>
      </c>
      <c r="AM127" s="125">
        <f>Valores!C$39*B127</f>
        <v>0</v>
      </c>
      <c r="AN127" s="125">
        <f>IF($F$3="NO",0,Valores!$C$57)</f>
        <v>0</v>
      </c>
      <c r="AO127" s="125">
        <f t="shared" si="14"/>
        <v>35000</v>
      </c>
      <c r="AP127" s="125">
        <f>AI127*Valores!$C$72</f>
        <v>-65388.10476000001</v>
      </c>
      <c r="AQ127" s="125">
        <f>IF(AI127&lt;Valores!$E$73,-0.02,IF(AI127&lt;Valores!$F$73,-0.03,-0.04))*AI127</f>
        <v>-11888.746320000002</v>
      </c>
      <c r="AR127" s="125">
        <f>AI127*Valores!$C$75</f>
        <v>-32694.052380000005</v>
      </c>
      <c r="AS127" s="125">
        <f>Valores!$C$102</f>
        <v>-1270.16</v>
      </c>
      <c r="AT127" s="125">
        <f>IF($F$5=0,Valores!$C$103,(Valores!$C$103+$F$5*(Valores!$C$103)))</f>
        <v>-11714</v>
      </c>
      <c r="AU127" s="125">
        <f t="shared" si="17"/>
        <v>506482.2525400001</v>
      </c>
      <c r="AV127" s="125">
        <f t="shared" si="11"/>
        <v>-65388.10476000001</v>
      </c>
      <c r="AW127" s="125">
        <f t="shared" si="18"/>
        <v>-11888.746320000002</v>
      </c>
      <c r="AX127" s="125">
        <f>AI127*Valores!$C$76</f>
        <v>-16049.807532000003</v>
      </c>
      <c r="AY127" s="125">
        <f>AI127*Valores!$C$77</f>
        <v>-1783.3119480000003</v>
      </c>
      <c r="AZ127" s="125">
        <f t="shared" si="15"/>
        <v>534327.3454400001</v>
      </c>
      <c r="BA127" s="125">
        <f>AI127*Valores!$C$79</f>
        <v>95109.97056000002</v>
      </c>
      <c r="BB127" s="125">
        <f>AI127*Valores!$C$80</f>
        <v>41610.61212000001</v>
      </c>
      <c r="BC127" s="125">
        <f>AI127*Valores!$C$81</f>
        <v>5944.373160000001</v>
      </c>
      <c r="BD127" s="125">
        <f>AI127*Valores!$C$83</f>
        <v>20805.306060000006</v>
      </c>
      <c r="BE127" s="125">
        <f>AI127*Valores!$C$85</f>
        <v>32099.615064000005</v>
      </c>
      <c r="BF127" s="125">
        <f>AI127*Valores!$C$84</f>
        <v>3566.6238960000005</v>
      </c>
      <c r="BG127" s="126"/>
      <c r="BH127" s="126"/>
      <c r="BI127" s="123" t="s">
        <v>4</v>
      </c>
    </row>
    <row r="128" spans="1:61" s="110" customFormat="1" ht="11.25" customHeight="1">
      <c r="A128" s="123" t="s">
        <v>341</v>
      </c>
      <c r="B128" s="123">
        <v>1</v>
      </c>
      <c r="C128" s="126">
        <v>121</v>
      </c>
      <c r="D128" s="124" t="s">
        <v>342</v>
      </c>
      <c r="E128" s="192">
        <v>61</v>
      </c>
      <c r="F128" s="125">
        <f>ROUND(E128*Valores!$C$2,2)</f>
        <v>5049.58</v>
      </c>
      <c r="G128" s="192">
        <v>1217</v>
      </c>
      <c r="H128" s="125">
        <f>ROUND(G128*Valores!$C$2,2)</f>
        <v>100743.26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43226.6</v>
      </c>
      <c r="N128" s="125">
        <f t="shared" si="12"/>
        <v>0</v>
      </c>
      <c r="O128" s="125">
        <f>Valores!$C$16</f>
        <v>71528.26</v>
      </c>
      <c r="P128" s="125">
        <f>Valores!$D$5</f>
        <v>42317.14</v>
      </c>
      <c r="Q128" s="125">
        <f>Valores!$C$22</f>
        <v>37751.3</v>
      </c>
      <c r="R128" s="125">
        <f>IF($F$4="NO",Valores!$C$44,Valores!$C$44/2)</f>
        <v>27739.24</v>
      </c>
      <c r="S128" s="125">
        <f>Valores!$C$19</f>
        <v>39374.32</v>
      </c>
      <c r="T128" s="125">
        <f t="shared" si="19"/>
        <v>39374.32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Valores!$C$96</f>
        <v>57944.18</v>
      </c>
      <c r="AA128" s="125">
        <f>Valores!$C$25</f>
        <v>1730.69</v>
      </c>
      <c r="AB128" s="214">
        <v>0</v>
      </c>
      <c r="AC128" s="125">
        <f t="shared" si="13"/>
        <v>0</v>
      </c>
      <c r="AD128" s="125">
        <f>Valores!$C$26</f>
        <v>1730.69</v>
      </c>
      <c r="AE128" s="192">
        <v>0</v>
      </c>
      <c r="AF128" s="125">
        <f>ROUND(AE128*Valores!$C$2,2)</f>
        <v>0</v>
      </c>
      <c r="AG128" s="125">
        <f>ROUND(IF($F$4="NO",Valores!$C$64,Valores!$C$64/2),2)</f>
        <v>19786.28</v>
      </c>
      <c r="AH128" s="125">
        <f>SUM(F128,H128,J128,L128,M128,N128,O128,P128,Q128,R128,T128,U128,V128,X128,Y128,Z128,AA128,AC128,AD128,AF128,AG128)*Valores!$C$104</f>
        <v>44892.15400000001</v>
      </c>
      <c r="AI128" s="125">
        <f t="shared" si="16"/>
        <v>493813.694</v>
      </c>
      <c r="AJ128" s="125">
        <f>Valores!$C$31</f>
        <v>35000</v>
      </c>
      <c r="AK128" s="125">
        <v>0</v>
      </c>
      <c r="AL128" s="125">
        <f>Valores!$C$89</f>
        <v>0</v>
      </c>
      <c r="AM128" s="125">
        <f>Valores!C$39*B128</f>
        <v>0</v>
      </c>
      <c r="AN128" s="125">
        <f>IF($F$3="NO",0,Valores!$C$57)</f>
        <v>0</v>
      </c>
      <c r="AO128" s="125">
        <f t="shared" si="14"/>
        <v>35000</v>
      </c>
      <c r="AP128" s="125">
        <f>AI128*Valores!$C$72</f>
        <v>-54319.50634</v>
      </c>
      <c r="AQ128" s="125">
        <f>IF(AI128&lt;Valores!$E$73,-0.02,IF(AI128&lt;Valores!$F$73,-0.03,-0.04))*AI128</f>
        <v>-9876.27388</v>
      </c>
      <c r="AR128" s="125">
        <f>AI128*Valores!$C$75</f>
        <v>-27159.75317</v>
      </c>
      <c r="AS128" s="125">
        <f>Valores!$C$102</f>
        <v>-1270.16</v>
      </c>
      <c r="AT128" s="125">
        <f>IF($F$5=0,Valores!$C$103,(Valores!$C$103+$F$5*(Valores!$C$103)))</f>
        <v>-11714</v>
      </c>
      <c r="AU128" s="125">
        <f t="shared" si="17"/>
        <v>424474.00061</v>
      </c>
      <c r="AV128" s="125">
        <f t="shared" si="11"/>
        <v>-54319.50634</v>
      </c>
      <c r="AW128" s="125">
        <f t="shared" si="18"/>
        <v>-9876.27388</v>
      </c>
      <c r="AX128" s="125">
        <f>AI128*Valores!$C$76</f>
        <v>-13332.969738</v>
      </c>
      <c r="AY128" s="125">
        <f>AI128*Valores!$C$77</f>
        <v>-1481.441082</v>
      </c>
      <c r="AZ128" s="125">
        <f t="shared" si="15"/>
        <v>449803.50296</v>
      </c>
      <c r="BA128" s="125">
        <f>AI128*Valores!$C$79</f>
        <v>79010.19104</v>
      </c>
      <c r="BB128" s="125">
        <f>AI128*Valores!$C$80</f>
        <v>34566.958580000006</v>
      </c>
      <c r="BC128" s="125">
        <f>AI128*Valores!$C$81</f>
        <v>4938.13694</v>
      </c>
      <c r="BD128" s="125">
        <f>AI128*Valores!$C$83</f>
        <v>17283.479290000003</v>
      </c>
      <c r="BE128" s="125">
        <f>AI128*Valores!$C$85</f>
        <v>26665.939476</v>
      </c>
      <c r="BF128" s="125">
        <f>AI128*Valores!$C$84</f>
        <v>2962.882164</v>
      </c>
      <c r="BG128" s="126"/>
      <c r="BH128" s="126">
        <v>25</v>
      </c>
      <c r="BI128" s="123" t="s">
        <v>4</v>
      </c>
    </row>
    <row r="129" spans="1:61" s="110" customFormat="1" ht="11.25" customHeight="1">
      <c r="A129" s="123" t="s">
        <v>343</v>
      </c>
      <c r="B129" s="123">
        <v>1</v>
      </c>
      <c r="C129" s="126">
        <v>122</v>
      </c>
      <c r="D129" s="124" t="s">
        <v>344</v>
      </c>
      <c r="E129" s="192">
        <v>72</v>
      </c>
      <c r="F129" s="125">
        <f>ROUND(E129*Valores!$C$2,2)</f>
        <v>5960.16</v>
      </c>
      <c r="G129" s="192">
        <v>1206</v>
      </c>
      <c r="H129" s="125">
        <f>ROUND(G129*Valores!$C$2,2)</f>
        <v>99832.68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43226.6</v>
      </c>
      <c r="N129" s="125">
        <f t="shared" si="12"/>
        <v>0</v>
      </c>
      <c r="O129" s="125">
        <f>Valores!$C$16</f>
        <v>71528.26</v>
      </c>
      <c r="P129" s="125">
        <f>Valores!$D$5</f>
        <v>42317.14</v>
      </c>
      <c r="Q129" s="125">
        <f>Valores!$C$22</f>
        <v>37751.3</v>
      </c>
      <c r="R129" s="125">
        <f>IF($F$4="NO",Valores!$C$44,Valores!$C$44/2)</f>
        <v>27739.24</v>
      </c>
      <c r="S129" s="125">
        <f>Valores!$C$19</f>
        <v>39374.32</v>
      </c>
      <c r="T129" s="125">
        <f t="shared" si="19"/>
        <v>39374.32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Valores!$C$96</f>
        <v>57944.18</v>
      </c>
      <c r="AA129" s="125">
        <f>Valores!$C$25</f>
        <v>1730.69</v>
      </c>
      <c r="AB129" s="214">
        <v>0</v>
      </c>
      <c r="AC129" s="125">
        <f t="shared" si="13"/>
        <v>0</v>
      </c>
      <c r="AD129" s="125">
        <f>Valores!$C$26</f>
        <v>1730.69</v>
      </c>
      <c r="AE129" s="192">
        <v>94</v>
      </c>
      <c r="AF129" s="125">
        <f>ROUND(AE129*Valores!$C$2,2)</f>
        <v>7781.32</v>
      </c>
      <c r="AG129" s="125">
        <f>ROUND(IF($F$4="NO",Valores!$C$64,Valores!$C$64/2),2)</f>
        <v>19786.28</v>
      </c>
      <c r="AH129" s="125">
        <f>SUM(F129,H129,J129,L129,M129,N129,O129,P129,Q129,R129,T129,U129,V129,X129,Y129,Z129,AA129,AC129,AD129,AF129,AG129)*Valores!$C$104</f>
        <v>45670.286</v>
      </c>
      <c r="AI129" s="125">
        <f t="shared" si="16"/>
        <v>502373.146</v>
      </c>
      <c r="AJ129" s="125">
        <f>Valores!$C$31</f>
        <v>35000</v>
      </c>
      <c r="AK129" s="125">
        <v>0</v>
      </c>
      <c r="AL129" s="125">
        <f>Valores!$C$89</f>
        <v>0</v>
      </c>
      <c r="AM129" s="125">
        <f>Valores!C$39*B129</f>
        <v>0</v>
      </c>
      <c r="AN129" s="125">
        <f>IF($F$3="NO",0,Valores!$C$57)</f>
        <v>0</v>
      </c>
      <c r="AO129" s="125">
        <f t="shared" si="14"/>
        <v>35000</v>
      </c>
      <c r="AP129" s="125">
        <f>AI129*Valores!$C$72</f>
        <v>-55261.04606</v>
      </c>
      <c r="AQ129" s="125">
        <f>IF(AI129&lt;Valores!$E$73,-0.02,IF(AI129&lt;Valores!$F$73,-0.03,-0.04))*AI129</f>
        <v>-10047.46292</v>
      </c>
      <c r="AR129" s="125">
        <f>AI129*Valores!$C$75</f>
        <v>-27630.52303</v>
      </c>
      <c r="AS129" s="125">
        <f>Valores!$C$102</f>
        <v>-1270.16</v>
      </c>
      <c r="AT129" s="125">
        <f>IF($F$5=0,Valores!$C$103,(Valores!$C$103+$F$5*(Valores!$C$103)))</f>
        <v>-11714</v>
      </c>
      <c r="AU129" s="125">
        <f t="shared" si="17"/>
        <v>431449.95399</v>
      </c>
      <c r="AV129" s="125">
        <f t="shared" si="11"/>
        <v>-55261.04606</v>
      </c>
      <c r="AW129" s="125">
        <f t="shared" si="18"/>
        <v>-10047.46292</v>
      </c>
      <c r="AX129" s="125">
        <f>AI129*Valores!$C$76</f>
        <v>-13564.074942</v>
      </c>
      <c r="AY129" s="125">
        <f>AI129*Valores!$C$77</f>
        <v>-1507.119438</v>
      </c>
      <c r="AZ129" s="125">
        <f t="shared" si="15"/>
        <v>456993.44263999996</v>
      </c>
      <c r="BA129" s="125">
        <f>AI129*Valores!$C$79</f>
        <v>80379.70336</v>
      </c>
      <c r="BB129" s="125">
        <f>AI129*Valores!$C$80</f>
        <v>35166.120220000004</v>
      </c>
      <c r="BC129" s="125">
        <f>AI129*Valores!$C$81</f>
        <v>5023.73146</v>
      </c>
      <c r="BD129" s="125">
        <f>AI129*Valores!$C$83</f>
        <v>17583.060110000002</v>
      </c>
      <c r="BE129" s="125">
        <f>AI129*Valores!$C$85</f>
        <v>27128.149884</v>
      </c>
      <c r="BF129" s="125">
        <f>AI129*Valores!$C$84</f>
        <v>3014.238876</v>
      </c>
      <c r="BG129" s="126"/>
      <c r="BH129" s="126">
        <v>20</v>
      </c>
      <c r="BI129" s="123" t="s">
        <v>4</v>
      </c>
    </row>
    <row r="130" spans="1:61" s="110" customFormat="1" ht="11.25" customHeight="1">
      <c r="A130" s="123" t="s">
        <v>345</v>
      </c>
      <c r="B130" s="123">
        <v>1</v>
      </c>
      <c r="C130" s="126">
        <v>123</v>
      </c>
      <c r="D130" s="124" t="s">
        <v>346</v>
      </c>
      <c r="E130" s="192">
        <v>61</v>
      </c>
      <c r="F130" s="125">
        <f>ROUND(E130*Valores!$C$2,2)</f>
        <v>5049.58</v>
      </c>
      <c r="G130" s="192">
        <v>1217</v>
      </c>
      <c r="H130" s="125">
        <f>ROUND(G130*Valores!$C$2,2)</f>
        <v>100743.26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43125.96</v>
      </c>
      <c r="N130" s="125">
        <f t="shared" si="12"/>
        <v>0</v>
      </c>
      <c r="O130" s="125">
        <f>Valores!$C$16</f>
        <v>71528.26</v>
      </c>
      <c r="P130" s="125">
        <f>Valores!$D$5</f>
        <v>42317.14</v>
      </c>
      <c r="Q130" s="125">
        <v>0</v>
      </c>
      <c r="R130" s="125">
        <f>IF($F$4="NO",Valores!$C$44,Valores!$C$44/2)</f>
        <v>27739.24</v>
      </c>
      <c r="S130" s="125">
        <f>Valores!$C$20</f>
        <v>38971.76</v>
      </c>
      <c r="T130" s="125">
        <f t="shared" si="19"/>
        <v>38971.76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Valores!$C$96</f>
        <v>57944.18</v>
      </c>
      <c r="AA130" s="125">
        <f>Valores!$C$25</f>
        <v>1730.69</v>
      </c>
      <c r="AB130" s="214">
        <v>0</v>
      </c>
      <c r="AC130" s="125">
        <f t="shared" si="13"/>
        <v>0</v>
      </c>
      <c r="AD130" s="125">
        <f>Valores!$C$26</f>
        <v>1730.69</v>
      </c>
      <c r="AE130" s="192">
        <v>0</v>
      </c>
      <c r="AF130" s="125">
        <f>ROUND(AE130*Valores!$C$2,2)</f>
        <v>0</v>
      </c>
      <c r="AG130" s="125">
        <f>ROUND(IF($F$4="NO",Valores!$C$64,Valores!$C$64/2),2)</f>
        <v>19786.28</v>
      </c>
      <c r="AH130" s="125">
        <f>SUM(F130,H130,J130,L130,M130,N130,O130,P130,Q130,R130,T130,U130,V130,X130,Y130,Z130,AA130,AC130,AD130,AF130,AG130)*Valores!$C$104</f>
        <v>41066.704000000005</v>
      </c>
      <c r="AI130" s="125">
        <f t="shared" si="16"/>
        <v>451733.74400000006</v>
      </c>
      <c r="AJ130" s="125">
        <f>Valores!$C$31</f>
        <v>35000</v>
      </c>
      <c r="AK130" s="125">
        <v>0</v>
      </c>
      <c r="AL130" s="125">
        <f>Valores!$C$89</f>
        <v>0</v>
      </c>
      <c r="AM130" s="125">
        <f>Valores!C$39*B130</f>
        <v>0</v>
      </c>
      <c r="AN130" s="125">
        <f>IF($F$3="NO",0,Valores!$C$57)</f>
        <v>0</v>
      </c>
      <c r="AO130" s="125">
        <f t="shared" si="14"/>
        <v>35000</v>
      </c>
      <c r="AP130" s="125">
        <f>AI130*Valores!$C$72</f>
        <v>-49690.71184000001</v>
      </c>
      <c r="AQ130" s="125">
        <f>IF(AI130&lt;Valores!$E$73,-0.02,IF(AI130&lt;Valores!$F$73,-0.03,-0.04))*AI130</f>
        <v>-9034.674880000002</v>
      </c>
      <c r="AR130" s="125">
        <f>AI130*Valores!$C$75</f>
        <v>-24845.355920000005</v>
      </c>
      <c r="AS130" s="125">
        <f>Valores!$C$102</f>
        <v>-1270.16</v>
      </c>
      <c r="AT130" s="125">
        <f>IF($F$5=0,Valores!$C$103,(Valores!$C$103+$F$5*(Valores!$C$103)))</f>
        <v>-11714</v>
      </c>
      <c r="AU130" s="125">
        <f t="shared" si="17"/>
        <v>390178.84136</v>
      </c>
      <c r="AV130" s="125">
        <f t="shared" si="11"/>
        <v>-49690.71184000001</v>
      </c>
      <c r="AW130" s="125">
        <f t="shared" si="18"/>
        <v>-9034.674880000002</v>
      </c>
      <c r="AX130" s="125">
        <f>AI130*Valores!$C$76</f>
        <v>-12196.811088000002</v>
      </c>
      <c r="AY130" s="125">
        <f>AI130*Valores!$C$77</f>
        <v>-1355.2012320000001</v>
      </c>
      <c r="AZ130" s="125">
        <f t="shared" si="15"/>
        <v>414456.34496</v>
      </c>
      <c r="BA130" s="125">
        <f>AI130*Valores!$C$79</f>
        <v>72277.39904000002</v>
      </c>
      <c r="BB130" s="125">
        <f>AI130*Valores!$C$80</f>
        <v>31621.362080000006</v>
      </c>
      <c r="BC130" s="125">
        <f>AI130*Valores!$C$81</f>
        <v>4517.337440000001</v>
      </c>
      <c r="BD130" s="125">
        <f>AI130*Valores!$C$83</f>
        <v>15810.681040000003</v>
      </c>
      <c r="BE130" s="125">
        <f>AI130*Valores!$C$85</f>
        <v>24393.622176000004</v>
      </c>
      <c r="BF130" s="125">
        <f>AI130*Valores!$C$84</f>
        <v>2710.4024640000002</v>
      </c>
      <c r="BG130" s="126"/>
      <c r="BH130" s="126"/>
      <c r="BI130" s="123" t="s">
        <v>8</v>
      </c>
    </row>
    <row r="131" spans="1:61" s="110" customFormat="1" ht="11.25" customHeight="1">
      <c r="A131" s="123" t="s">
        <v>347</v>
      </c>
      <c r="B131" s="123">
        <v>1</v>
      </c>
      <c r="C131" s="126">
        <v>124</v>
      </c>
      <c r="D131" s="124" t="s">
        <v>348</v>
      </c>
      <c r="E131" s="192">
        <v>1278</v>
      </c>
      <c r="F131" s="125">
        <f>ROUND(E131*Valores!$C$2,2)</f>
        <v>105792.84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43540.02</v>
      </c>
      <c r="N131" s="125">
        <f t="shared" si="12"/>
        <v>0</v>
      </c>
      <c r="O131" s="125">
        <f>Valores!$C$16</f>
        <v>71528.26</v>
      </c>
      <c r="P131" s="125">
        <f>Valores!$D$5</f>
        <v>42317.14</v>
      </c>
      <c r="Q131" s="125">
        <f>Valores!$C$22</f>
        <v>37751.3</v>
      </c>
      <c r="R131" s="125">
        <f>IF($F$4="NO",Valores!$C$45,Valores!$C$45/2)</f>
        <v>29395.49</v>
      </c>
      <c r="S131" s="125">
        <f>Valores!$C$20</f>
        <v>38971.76</v>
      </c>
      <c r="T131" s="125">
        <f t="shared" si="19"/>
        <v>38971.76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Valores!$C$96</f>
        <v>57944.18</v>
      </c>
      <c r="AA131" s="125">
        <f>Valores!$C$25</f>
        <v>1730.69</v>
      </c>
      <c r="AB131" s="214">
        <v>0</v>
      </c>
      <c r="AC131" s="125">
        <f t="shared" si="13"/>
        <v>0</v>
      </c>
      <c r="AD131" s="125">
        <f>Valores!$C$26</f>
        <v>1730.69</v>
      </c>
      <c r="AE131" s="192">
        <v>0</v>
      </c>
      <c r="AF131" s="125">
        <f>ROUND(AE131*Valores!$C$2,2)</f>
        <v>0</v>
      </c>
      <c r="AG131" s="125">
        <f>ROUND(IF($F$4="NO",Valores!$C$64,Valores!$C$64/2),2)</f>
        <v>19786.28</v>
      </c>
      <c r="AH131" s="125">
        <f>SUM(F131,H131,J131,L131,M131,N131,O131,P131,Q131,R131,T131,U131,V131,X131,Y131,Z131,AA131,AC131,AD131,AF131,AG131)*Valores!$C$104</f>
        <v>45048.865000000005</v>
      </c>
      <c r="AI131" s="125">
        <f t="shared" si="16"/>
        <v>495537.515</v>
      </c>
      <c r="AJ131" s="125">
        <f>Valores!$C$31</f>
        <v>35000</v>
      </c>
      <c r="AK131" s="125">
        <v>0</v>
      </c>
      <c r="AL131" s="125">
        <f>Valores!$C$89</f>
        <v>0</v>
      </c>
      <c r="AM131" s="125">
        <f>Valores!C$39*B131</f>
        <v>0</v>
      </c>
      <c r="AN131" s="125">
        <f>IF($F$3="NO",0,Valores!$C$57)</f>
        <v>0</v>
      </c>
      <c r="AO131" s="125">
        <f t="shared" si="14"/>
        <v>35000</v>
      </c>
      <c r="AP131" s="125">
        <f>AI131*Valores!$C$72</f>
        <v>-54509.12665</v>
      </c>
      <c r="AQ131" s="125">
        <f>IF(AI131&lt;Valores!$E$73,-0.02,IF(AI131&lt;Valores!$F$73,-0.03,-0.04))*AI131</f>
        <v>-9910.7503</v>
      </c>
      <c r="AR131" s="125">
        <f>AI131*Valores!$C$75</f>
        <v>-27254.563325</v>
      </c>
      <c r="AS131" s="125">
        <f>Valores!$C$102</f>
        <v>-1270.16</v>
      </c>
      <c r="AT131" s="125">
        <f>IF($F$5=0,Valores!$C$103,(Valores!$C$103+$F$5*(Valores!$C$103)))</f>
        <v>-11714</v>
      </c>
      <c r="AU131" s="125">
        <f t="shared" si="17"/>
        <v>425878.91472500004</v>
      </c>
      <c r="AV131" s="125">
        <f t="shared" si="11"/>
        <v>-54509.12665</v>
      </c>
      <c r="AW131" s="125">
        <f t="shared" si="18"/>
        <v>-9910.7503</v>
      </c>
      <c r="AX131" s="125">
        <f>AI131*Valores!$C$76</f>
        <v>-13379.512905</v>
      </c>
      <c r="AY131" s="125">
        <f>AI131*Valores!$C$77</f>
        <v>-1486.6125450000002</v>
      </c>
      <c r="AZ131" s="125">
        <f t="shared" si="15"/>
        <v>451251.5126</v>
      </c>
      <c r="BA131" s="125">
        <f>AI131*Valores!$C$79</f>
        <v>79286.0024</v>
      </c>
      <c r="BB131" s="125">
        <f>AI131*Valores!$C$80</f>
        <v>34687.626050000006</v>
      </c>
      <c r="BC131" s="125">
        <f>AI131*Valores!$C$81</f>
        <v>4955.37515</v>
      </c>
      <c r="BD131" s="125">
        <f>AI131*Valores!$C$83</f>
        <v>17343.813025000003</v>
      </c>
      <c r="BE131" s="125">
        <f>AI131*Valores!$C$85</f>
        <v>26759.02581</v>
      </c>
      <c r="BF131" s="125">
        <f>AI131*Valores!$C$84</f>
        <v>2973.2250900000004</v>
      </c>
      <c r="BG131" s="126"/>
      <c r="BH131" s="126">
        <v>22</v>
      </c>
      <c r="BI131" s="123" t="s">
        <v>4</v>
      </c>
    </row>
    <row r="132" spans="1:61" s="110" customFormat="1" ht="11.25" customHeight="1">
      <c r="A132" s="123" t="s">
        <v>349</v>
      </c>
      <c r="B132" s="123">
        <v>1</v>
      </c>
      <c r="C132" s="126">
        <v>125</v>
      </c>
      <c r="D132" s="124" t="s">
        <v>350</v>
      </c>
      <c r="E132" s="192">
        <v>1278</v>
      </c>
      <c r="F132" s="125">
        <f>ROUND(E132*Valores!$C$2,2)</f>
        <v>105792.84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43640.66</v>
      </c>
      <c r="N132" s="125">
        <f t="shared" si="12"/>
        <v>0</v>
      </c>
      <c r="O132" s="125">
        <f>Valores!$C$16</f>
        <v>71528.26</v>
      </c>
      <c r="P132" s="125">
        <f>Valores!$D$5</f>
        <v>42317.14</v>
      </c>
      <c r="Q132" s="125">
        <f>Valores!$C$22</f>
        <v>37751.3</v>
      </c>
      <c r="R132" s="125">
        <f>IF($F$4="NO",Valores!$C$45,Valores!$C$45/2)</f>
        <v>29395.49</v>
      </c>
      <c r="S132" s="125">
        <f>Valores!$C$19</f>
        <v>39374.32</v>
      </c>
      <c r="T132" s="125">
        <f t="shared" si="19"/>
        <v>39374.32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Valores!$C$96</f>
        <v>57944.18</v>
      </c>
      <c r="AA132" s="125">
        <f>Valores!$C$25</f>
        <v>1730.69</v>
      </c>
      <c r="AB132" s="214">
        <v>0</v>
      </c>
      <c r="AC132" s="125">
        <f t="shared" si="13"/>
        <v>0</v>
      </c>
      <c r="AD132" s="125">
        <f>Valores!$C$26</f>
        <v>1730.69</v>
      </c>
      <c r="AE132" s="192">
        <v>94</v>
      </c>
      <c r="AF132" s="125">
        <f>ROUND(AE132*Valores!$C$2,2)</f>
        <v>7781.32</v>
      </c>
      <c r="AG132" s="125">
        <f>ROUND(IF($F$4="NO",Valores!$C$64,Valores!$C$64/2),2)</f>
        <v>19786.28</v>
      </c>
      <c r="AH132" s="125">
        <f>SUM(F132,H132,J132,L132,M132,N132,O132,P132,Q132,R132,T132,U132,V132,X132,Y132,Z132,AA132,AC132,AD132,AF132,AG132)*Valores!$C$104</f>
        <v>45877.31700000001</v>
      </c>
      <c r="AI132" s="125">
        <f t="shared" si="16"/>
        <v>504650.4870000001</v>
      </c>
      <c r="AJ132" s="125">
        <f>Valores!$C$31</f>
        <v>35000</v>
      </c>
      <c r="AK132" s="125">
        <v>0</v>
      </c>
      <c r="AL132" s="125">
        <f>Valores!$C$89</f>
        <v>0</v>
      </c>
      <c r="AM132" s="125">
        <f>Valores!C$39*B132</f>
        <v>0</v>
      </c>
      <c r="AN132" s="125">
        <f>IF($F$3="NO",0,Valores!$C$57)</f>
        <v>0</v>
      </c>
      <c r="AO132" s="125">
        <f t="shared" si="14"/>
        <v>35000</v>
      </c>
      <c r="AP132" s="125">
        <f>AI132*Valores!$C$72</f>
        <v>-55511.55357000001</v>
      </c>
      <c r="AQ132" s="125">
        <f>IF(AI132&lt;Valores!$E$73,-0.02,IF(AI132&lt;Valores!$F$73,-0.03,-0.04))*AI132</f>
        <v>-10093.009740000001</v>
      </c>
      <c r="AR132" s="125">
        <f>AI132*Valores!$C$75</f>
        <v>-27755.776785000005</v>
      </c>
      <c r="AS132" s="125">
        <f>Valores!$C$102</f>
        <v>-1270.16</v>
      </c>
      <c r="AT132" s="125">
        <f>IF($F$5=0,Valores!$C$103,(Valores!$C$103+$F$5*(Valores!$C$103)))</f>
        <v>-11714</v>
      </c>
      <c r="AU132" s="125">
        <f t="shared" si="17"/>
        <v>433305.98690500006</v>
      </c>
      <c r="AV132" s="125">
        <f t="shared" si="11"/>
        <v>-55511.55357000001</v>
      </c>
      <c r="AW132" s="125">
        <f t="shared" si="18"/>
        <v>-10093.009740000001</v>
      </c>
      <c r="AX132" s="125">
        <f>AI132*Valores!$C$76</f>
        <v>-13625.563149000001</v>
      </c>
      <c r="AY132" s="125">
        <f>AI132*Valores!$C$77</f>
        <v>-1513.9514610000003</v>
      </c>
      <c r="AZ132" s="125">
        <f t="shared" si="15"/>
        <v>458906.40908000007</v>
      </c>
      <c r="BA132" s="125">
        <f>AI132*Valores!$C$79</f>
        <v>80744.07792000001</v>
      </c>
      <c r="BB132" s="125">
        <f>AI132*Valores!$C$80</f>
        <v>35325.53409000001</v>
      </c>
      <c r="BC132" s="125">
        <f>AI132*Valores!$C$81</f>
        <v>5046.504870000001</v>
      </c>
      <c r="BD132" s="125">
        <f>AI132*Valores!$C$83</f>
        <v>17662.767045000004</v>
      </c>
      <c r="BE132" s="125">
        <f>AI132*Valores!$C$85</f>
        <v>27251.126298000003</v>
      </c>
      <c r="BF132" s="125">
        <f>AI132*Valores!$C$84</f>
        <v>3027.9029220000007</v>
      </c>
      <c r="BG132" s="126"/>
      <c r="BH132" s="126">
        <v>20</v>
      </c>
      <c r="BI132" s="123" t="s">
        <v>4</v>
      </c>
    </row>
    <row r="133" spans="1:61" s="110" customFormat="1" ht="11.25" customHeight="1">
      <c r="A133" s="123" t="s">
        <v>351</v>
      </c>
      <c r="B133" s="123">
        <v>1</v>
      </c>
      <c r="C133" s="126">
        <v>126</v>
      </c>
      <c r="D133" s="124" t="s">
        <v>352</v>
      </c>
      <c r="E133" s="192">
        <v>936</v>
      </c>
      <c r="F133" s="125">
        <f>ROUND(E133*Valores!$C$2,2)</f>
        <v>77482.08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36048.27</v>
      </c>
      <c r="N133" s="125">
        <f t="shared" si="12"/>
        <v>0</v>
      </c>
      <c r="O133" s="125">
        <f>Valores!$C$16</f>
        <v>71528.26</v>
      </c>
      <c r="P133" s="125">
        <f>Valores!$D$5</f>
        <v>42317.14</v>
      </c>
      <c r="Q133" s="125">
        <f>Valores!$C$23</f>
        <v>35136.41</v>
      </c>
      <c r="R133" s="125">
        <f>IF($F$4="NO",Valores!$C$44,Valores!$C$44/2)</f>
        <v>27739.24</v>
      </c>
      <c r="S133" s="125">
        <f>Valores!$C$20</f>
        <v>38971.76</v>
      </c>
      <c r="T133" s="125">
        <f t="shared" si="19"/>
        <v>38971.76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Valores!$C$96</f>
        <v>57944.18</v>
      </c>
      <c r="AA133" s="125">
        <f>Valores!$C$25</f>
        <v>1730.69</v>
      </c>
      <c r="AB133" s="214">
        <v>0</v>
      </c>
      <c r="AC133" s="125">
        <f t="shared" si="13"/>
        <v>0</v>
      </c>
      <c r="AD133" s="125">
        <f>Valores!$C$26</f>
        <v>1730.69</v>
      </c>
      <c r="AE133" s="192">
        <v>94</v>
      </c>
      <c r="AF133" s="125">
        <f>ROUND(AE133*Valores!$C$2,2)</f>
        <v>7781.32</v>
      </c>
      <c r="AG133" s="125">
        <f>ROUND(IF($F$4="NO",Valores!$C$64,Valores!$C$64/2),2)</f>
        <v>19786.28</v>
      </c>
      <c r="AH133" s="125">
        <f>SUM(F133,H133,J133,L133,M133,N133,O133,P133,Q133,R133,T133,U133,V133,X133,Y133,Z133,AA133,AC133,AD133,AF133,AG133)*Valores!$C$104</f>
        <v>41819.63200000001</v>
      </c>
      <c r="AI133" s="125">
        <f t="shared" si="16"/>
        <v>460015.95200000005</v>
      </c>
      <c r="AJ133" s="125">
        <f>Valores!$C$31</f>
        <v>35000</v>
      </c>
      <c r="AK133" s="125">
        <v>0</v>
      </c>
      <c r="AL133" s="125">
        <f>Valores!$C$89</f>
        <v>0</v>
      </c>
      <c r="AM133" s="125">
        <f>Valores!C$39*B133</f>
        <v>0</v>
      </c>
      <c r="AN133" s="125">
        <f>IF($F$3="NO",0,Valores!$C$57)</f>
        <v>0</v>
      </c>
      <c r="AO133" s="125">
        <f t="shared" si="14"/>
        <v>35000</v>
      </c>
      <c r="AP133" s="125">
        <f>AI133*Valores!$C$72</f>
        <v>-50601.754720000004</v>
      </c>
      <c r="AQ133" s="125">
        <f>IF(AI133&lt;Valores!$E$73,-0.02,IF(AI133&lt;Valores!$F$73,-0.03,-0.04))*AI133</f>
        <v>-9200.31904</v>
      </c>
      <c r="AR133" s="125">
        <f>AI133*Valores!$C$75</f>
        <v>-25300.877360000002</v>
      </c>
      <c r="AS133" s="125">
        <f>Valores!$C$102</f>
        <v>-1270.16</v>
      </c>
      <c r="AT133" s="125">
        <f>IF($F$5=0,Valores!$C$103,(Valores!$C$103+$F$5*(Valores!$C$103)))</f>
        <v>-11714</v>
      </c>
      <c r="AU133" s="125">
        <f t="shared" si="17"/>
        <v>396928.84088000003</v>
      </c>
      <c r="AV133" s="125">
        <f t="shared" si="11"/>
        <v>-50601.754720000004</v>
      </c>
      <c r="AW133" s="125">
        <f t="shared" si="18"/>
        <v>-9200.31904</v>
      </c>
      <c r="AX133" s="125">
        <f>AI133*Valores!$C$76</f>
        <v>-12420.430704</v>
      </c>
      <c r="AY133" s="125">
        <f>AI133*Valores!$C$77</f>
        <v>-1380.0478560000001</v>
      </c>
      <c r="AZ133" s="125">
        <f t="shared" si="15"/>
        <v>421413.39968000003</v>
      </c>
      <c r="BA133" s="125">
        <f>AI133*Valores!$C$79</f>
        <v>73602.55232</v>
      </c>
      <c r="BB133" s="125">
        <f>AI133*Valores!$C$80</f>
        <v>32201.116640000007</v>
      </c>
      <c r="BC133" s="125">
        <f>AI133*Valores!$C$81</f>
        <v>4600.15952</v>
      </c>
      <c r="BD133" s="125">
        <f>AI133*Valores!$C$83</f>
        <v>16100.558320000004</v>
      </c>
      <c r="BE133" s="125">
        <f>AI133*Valores!$C$85</f>
        <v>24840.861408</v>
      </c>
      <c r="BF133" s="125">
        <f>AI133*Valores!$C$84</f>
        <v>2760.0957120000003</v>
      </c>
      <c r="BG133" s="126">
        <v>8</v>
      </c>
      <c r="BH133" s="126"/>
      <c r="BI133" s="123" t="s">
        <v>4</v>
      </c>
    </row>
    <row r="134" spans="1:61" s="110" customFormat="1" ht="11.25" customHeight="1">
      <c r="A134" s="123" t="s">
        <v>353</v>
      </c>
      <c r="B134" s="123">
        <v>1</v>
      </c>
      <c r="C134" s="126">
        <v>127</v>
      </c>
      <c r="D134" s="124" t="s">
        <v>354</v>
      </c>
      <c r="E134" s="192">
        <v>1278</v>
      </c>
      <c r="F134" s="125">
        <f>ROUND(E134*Valores!$C$2,2)</f>
        <v>105792.84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43125.96</v>
      </c>
      <c r="N134" s="125">
        <f t="shared" si="12"/>
        <v>0</v>
      </c>
      <c r="O134" s="125">
        <f>Valores!$C$8</f>
        <v>103748.61</v>
      </c>
      <c r="P134" s="125">
        <f>Valores!$D$5</f>
        <v>42317.14</v>
      </c>
      <c r="Q134" s="125">
        <v>0</v>
      </c>
      <c r="R134" s="125">
        <f>IF($F$4="NO",Valores!$C$44,Valores!$C$44/2)</f>
        <v>27739.24</v>
      </c>
      <c r="S134" s="125">
        <f>Valores!$C$20</f>
        <v>38971.76</v>
      </c>
      <c r="T134" s="125">
        <f t="shared" si="19"/>
        <v>38971.76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Valores!$C$96</f>
        <v>57944.18</v>
      </c>
      <c r="AA134" s="125">
        <f>Valores!$C$25</f>
        <v>1730.69</v>
      </c>
      <c r="AB134" s="214">
        <v>0</v>
      </c>
      <c r="AC134" s="125">
        <f t="shared" si="13"/>
        <v>0</v>
      </c>
      <c r="AD134" s="125">
        <f>Valores!$C$26</f>
        <v>1730.69</v>
      </c>
      <c r="AE134" s="192">
        <v>94</v>
      </c>
      <c r="AF134" s="125">
        <f>ROUND(AE134*Valores!$C$2,2)</f>
        <v>7781.32</v>
      </c>
      <c r="AG134" s="125">
        <f>ROUND(IF($F$4="NO",Valores!$C$64,Valores!$C$64/2),2)</f>
        <v>19786.28</v>
      </c>
      <c r="AH134" s="125">
        <f>SUM(F134,H134,J134,L134,M134,N134,O134,P134,Q134,R134,T134,U134,V134,X134,Y134,Z134,AA134,AC134,AD134,AF134,AG134)*Valores!$C$104</f>
        <v>45066.871</v>
      </c>
      <c r="AI134" s="125">
        <f t="shared" si="16"/>
        <v>495735.58099999995</v>
      </c>
      <c r="AJ134" s="125">
        <f>Valores!$C$31</f>
        <v>35000</v>
      </c>
      <c r="AK134" s="125">
        <v>0</v>
      </c>
      <c r="AL134" s="125">
        <f>Valores!$C$89</f>
        <v>0</v>
      </c>
      <c r="AM134" s="125">
        <f>Valores!C$39*B134</f>
        <v>0</v>
      </c>
      <c r="AN134" s="125">
        <f>IF($F$3="NO",0,Valores!$C$57)</f>
        <v>0</v>
      </c>
      <c r="AO134" s="125">
        <f t="shared" si="14"/>
        <v>35000</v>
      </c>
      <c r="AP134" s="125">
        <f>AI134*Valores!$C$72</f>
        <v>-54530.913909999996</v>
      </c>
      <c r="AQ134" s="125">
        <f>IF(AI134&lt;Valores!$E$73,-0.02,IF(AI134&lt;Valores!$F$73,-0.03,-0.04))*AI134</f>
        <v>-9914.71162</v>
      </c>
      <c r="AR134" s="125">
        <f>AI134*Valores!$C$75</f>
        <v>-27265.456954999998</v>
      </c>
      <c r="AS134" s="125">
        <f>Valores!$C$102</f>
        <v>-1270.16</v>
      </c>
      <c r="AT134" s="125">
        <f>IF($F$5=0,Valores!$C$103,(Valores!$C$103+$F$5*(Valores!$C$103)))</f>
        <v>-11714</v>
      </c>
      <c r="AU134" s="125">
        <f t="shared" si="17"/>
        <v>426040.33851499995</v>
      </c>
      <c r="AV134" s="125">
        <f aca="true" t="shared" si="20" ref="AV134:AV196">AP134</f>
        <v>-54530.913909999996</v>
      </c>
      <c r="AW134" s="125">
        <f t="shared" si="18"/>
        <v>-9914.71162</v>
      </c>
      <c r="AX134" s="125">
        <f>AI134*Valores!$C$76</f>
        <v>-13384.860686999999</v>
      </c>
      <c r="AY134" s="125">
        <f>AI134*Valores!$C$77</f>
        <v>-1487.206743</v>
      </c>
      <c r="AZ134" s="125">
        <f t="shared" si="15"/>
        <v>451417.88804</v>
      </c>
      <c r="BA134" s="125">
        <f>AI134*Valores!$C$79</f>
        <v>79317.69296</v>
      </c>
      <c r="BB134" s="125">
        <f>AI134*Valores!$C$80</f>
        <v>34701.49067</v>
      </c>
      <c r="BC134" s="125">
        <f>AI134*Valores!$C$81</f>
        <v>4957.35581</v>
      </c>
      <c r="BD134" s="125">
        <f>AI134*Valores!$C$83</f>
        <v>17350.745335</v>
      </c>
      <c r="BE134" s="125">
        <f>AI134*Valores!$C$85</f>
        <v>26769.721373999997</v>
      </c>
      <c r="BF134" s="125">
        <f>AI134*Valores!$C$84</f>
        <v>2974.413486</v>
      </c>
      <c r="BG134" s="126"/>
      <c r="BH134" s="126">
        <v>22</v>
      </c>
      <c r="BI134" s="123" t="s">
        <v>4</v>
      </c>
    </row>
    <row r="135" spans="1:61" s="110" customFormat="1" ht="11.25" customHeight="1">
      <c r="A135" s="123" t="s">
        <v>355</v>
      </c>
      <c r="B135" s="123">
        <v>1</v>
      </c>
      <c r="C135" s="126">
        <v>128</v>
      </c>
      <c r="D135" s="124" t="s">
        <v>356</v>
      </c>
      <c r="E135" s="192">
        <v>1278</v>
      </c>
      <c r="F135" s="125">
        <f>ROUND(E135*Valores!$C$2,2)</f>
        <v>105792.84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43640.66</v>
      </c>
      <c r="N135" s="125">
        <f t="shared" si="12"/>
        <v>0</v>
      </c>
      <c r="O135" s="125">
        <f>Valores!$C$8</f>
        <v>103748.61</v>
      </c>
      <c r="P135" s="125">
        <f>Valores!$D$5</f>
        <v>42317.14</v>
      </c>
      <c r="Q135" s="125">
        <f>Valores!$C$22</f>
        <v>37751.3</v>
      </c>
      <c r="R135" s="125">
        <f>IF($F$4="NO",Valores!$C$45,Valores!$C$45/2)</f>
        <v>29395.49</v>
      </c>
      <c r="S135" s="125">
        <f>Valores!$C$19</f>
        <v>39374.32</v>
      </c>
      <c r="T135" s="125">
        <f t="shared" si="19"/>
        <v>39374.32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Valores!$C$96</f>
        <v>57944.18</v>
      </c>
      <c r="AA135" s="125">
        <f>Valores!$C$25</f>
        <v>1730.69</v>
      </c>
      <c r="AB135" s="214">
        <v>0</v>
      </c>
      <c r="AC135" s="125">
        <f t="shared" si="13"/>
        <v>0</v>
      </c>
      <c r="AD135" s="125">
        <f>Valores!$C$26</f>
        <v>1730.69</v>
      </c>
      <c r="AE135" s="192">
        <v>0</v>
      </c>
      <c r="AF135" s="125">
        <f>ROUND(AE135*Valores!$C$2,2)</f>
        <v>0</v>
      </c>
      <c r="AG135" s="125">
        <f>ROUND(IF($F$4="NO",Valores!$C$64,Valores!$C$64/2),2)</f>
        <v>19786.28</v>
      </c>
      <c r="AH135" s="125">
        <f>SUM(F135,H135,J135,L135,M135,N135,O135,P135,Q135,R135,T135,U135,V135,X135,Y135,Z135,AA135,AC135,AD135,AF135,AG135)*Valores!$C$104</f>
        <v>48321.22</v>
      </c>
      <c r="AI135" s="125">
        <f t="shared" si="16"/>
        <v>531533.4199999999</v>
      </c>
      <c r="AJ135" s="125">
        <f>Valores!$C$31</f>
        <v>35000</v>
      </c>
      <c r="AK135" s="125">
        <v>0</v>
      </c>
      <c r="AL135" s="125">
        <f>Valores!$C$89</f>
        <v>0</v>
      </c>
      <c r="AM135" s="125">
        <f>Valores!C$39*B135</f>
        <v>0</v>
      </c>
      <c r="AN135" s="125">
        <f>IF($F$3="NO",0,Valores!$C$57)</f>
        <v>0</v>
      </c>
      <c r="AO135" s="125">
        <f t="shared" si="14"/>
        <v>35000</v>
      </c>
      <c r="AP135" s="125">
        <f>AI135*Valores!$C$72</f>
        <v>-58468.676199999994</v>
      </c>
      <c r="AQ135" s="125">
        <f>IF(AI135&lt;Valores!$E$73,-0.02,IF(AI135&lt;Valores!$F$73,-0.03,-0.04))*AI135</f>
        <v>-10630.668399999999</v>
      </c>
      <c r="AR135" s="125">
        <f>AI135*Valores!$C$75</f>
        <v>-29234.338099999997</v>
      </c>
      <c r="AS135" s="125">
        <f>Valores!$C$102</f>
        <v>-1270.16</v>
      </c>
      <c r="AT135" s="125">
        <f>IF($F$5=0,Valores!$C$103,(Valores!$C$103+$F$5*(Valores!$C$103)))</f>
        <v>-11714</v>
      </c>
      <c r="AU135" s="125">
        <f t="shared" si="17"/>
        <v>455215.57729999995</v>
      </c>
      <c r="AV135" s="125">
        <f t="shared" si="20"/>
        <v>-58468.676199999994</v>
      </c>
      <c r="AW135" s="125">
        <f t="shared" si="18"/>
        <v>-10630.668399999999</v>
      </c>
      <c r="AX135" s="125">
        <f>AI135*Valores!$C$76</f>
        <v>-14351.402339999999</v>
      </c>
      <c r="AY135" s="125">
        <f>AI135*Valores!$C$77</f>
        <v>-1594.6002599999997</v>
      </c>
      <c r="AZ135" s="125">
        <f t="shared" si="15"/>
        <v>481488.0727999999</v>
      </c>
      <c r="BA135" s="125">
        <f>AI135*Valores!$C$79</f>
        <v>85045.34719999999</v>
      </c>
      <c r="BB135" s="125">
        <f>AI135*Valores!$C$80</f>
        <v>37207.3394</v>
      </c>
      <c r="BC135" s="125">
        <f>AI135*Valores!$C$81</f>
        <v>5315.334199999999</v>
      </c>
      <c r="BD135" s="125">
        <f>AI135*Valores!$C$83</f>
        <v>18603.6697</v>
      </c>
      <c r="BE135" s="125">
        <f>AI135*Valores!$C$85</f>
        <v>28702.804679999997</v>
      </c>
      <c r="BF135" s="125">
        <f>AI135*Valores!$C$84</f>
        <v>3189.2005199999994</v>
      </c>
      <c r="BG135" s="126"/>
      <c r="BH135" s="126"/>
      <c r="BI135" s="123" t="s">
        <v>4</v>
      </c>
    </row>
    <row r="136" spans="1:61" s="110" customFormat="1" ht="11.25" customHeight="1">
      <c r="A136" s="123" t="s">
        <v>357</v>
      </c>
      <c r="B136" s="123">
        <v>1</v>
      </c>
      <c r="C136" s="126">
        <v>129</v>
      </c>
      <c r="D136" s="124" t="s">
        <v>358</v>
      </c>
      <c r="E136" s="192">
        <v>1278</v>
      </c>
      <c r="F136" s="125">
        <f>ROUND(E136*Valores!$C$2,2)</f>
        <v>105792.84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43640.66</v>
      </c>
      <c r="N136" s="125">
        <f aca="true" t="shared" si="21" ref="N136:N199">ROUND(SUM(F136,H136,J136,L136,X136,R136)*$H$2,2)</f>
        <v>0</v>
      </c>
      <c r="O136" s="125">
        <f>Valores!$C$8</f>
        <v>103748.61</v>
      </c>
      <c r="P136" s="125">
        <f>Valores!$D$5</f>
        <v>42317.14</v>
      </c>
      <c r="Q136" s="125">
        <f>Valores!$C$22</f>
        <v>37751.3</v>
      </c>
      <c r="R136" s="125">
        <f>IF($F$4="NO",Valores!$C$45,Valores!$C$45/2)</f>
        <v>29395.49</v>
      </c>
      <c r="S136" s="125">
        <f>Valores!$C$19</f>
        <v>39374.32</v>
      </c>
      <c r="T136" s="125">
        <f t="shared" si="19"/>
        <v>39374.32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Valores!$C$96</f>
        <v>57944.18</v>
      </c>
      <c r="AA136" s="125">
        <f>Valores!$C$25</f>
        <v>1730.69</v>
      </c>
      <c r="AB136" s="214">
        <v>0</v>
      </c>
      <c r="AC136" s="125">
        <f aca="true" t="shared" si="22" ref="AC136:AC199">ROUND(SUM(F136,H136,J136,X136,R136)*AB136,2)</f>
        <v>0</v>
      </c>
      <c r="AD136" s="125">
        <f>Valores!$C$26</f>
        <v>1730.69</v>
      </c>
      <c r="AE136" s="192">
        <v>0</v>
      </c>
      <c r="AF136" s="125">
        <f>ROUND(AE136*Valores!$C$2,2)</f>
        <v>0</v>
      </c>
      <c r="AG136" s="125">
        <f>ROUND(IF($F$4="NO",Valores!$C$64,Valores!$C$64/2),2)</f>
        <v>19786.28</v>
      </c>
      <c r="AH136" s="125">
        <f>SUM(F136,H136,J136,L136,M136,N136,O136,P136,Q136,R136,T136,U136,V136,X136,Y136,Z136,AA136,AC136,AD136,AF136,AG136)*Valores!$C$104</f>
        <v>48321.22</v>
      </c>
      <c r="AI136" s="125">
        <f t="shared" si="16"/>
        <v>531533.4199999999</v>
      </c>
      <c r="AJ136" s="125">
        <f>Valores!$C$31</f>
        <v>35000</v>
      </c>
      <c r="AK136" s="125">
        <v>0</v>
      </c>
      <c r="AL136" s="125">
        <f>Valores!$C$89</f>
        <v>0</v>
      </c>
      <c r="AM136" s="125">
        <f>Valores!C$39*B136</f>
        <v>0</v>
      </c>
      <c r="AN136" s="125">
        <f>IF($F$3="NO",0,Valores!$C$57)</f>
        <v>0</v>
      </c>
      <c r="AO136" s="125">
        <f aca="true" t="shared" si="23" ref="AO136:AO199">SUM(AJ136:AN136)</f>
        <v>35000</v>
      </c>
      <c r="AP136" s="125">
        <f>AI136*Valores!$C$72</f>
        <v>-58468.676199999994</v>
      </c>
      <c r="AQ136" s="125">
        <f>IF(AI136&lt;Valores!$E$73,-0.02,IF(AI136&lt;Valores!$F$73,-0.03,-0.04))*AI136</f>
        <v>-10630.668399999999</v>
      </c>
      <c r="AR136" s="125">
        <f>AI136*Valores!$C$75</f>
        <v>-29234.338099999997</v>
      </c>
      <c r="AS136" s="125">
        <f>Valores!$C$102</f>
        <v>-1270.16</v>
      </c>
      <c r="AT136" s="125">
        <f>IF($F$5=0,Valores!$C$103,(Valores!$C$103+$F$5*(Valores!$C$103)))</f>
        <v>-11714</v>
      </c>
      <c r="AU136" s="125">
        <f t="shared" si="17"/>
        <v>455215.57729999995</v>
      </c>
      <c r="AV136" s="125">
        <f t="shared" si="20"/>
        <v>-58468.676199999994</v>
      </c>
      <c r="AW136" s="125">
        <f t="shared" si="18"/>
        <v>-10630.668399999999</v>
      </c>
      <c r="AX136" s="125">
        <f>AI136*Valores!$C$76</f>
        <v>-14351.402339999999</v>
      </c>
      <c r="AY136" s="125">
        <f>AI136*Valores!$C$77</f>
        <v>-1594.6002599999997</v>
      </c>
      <c r="AZ136" s="125">
        <f aca="true" t="shared" si="24" ref="AZ136:AZ199">AI136+AO136+SUM(AV136:AY136)</f>
        <v>481488.0727999999</v>
      </c>
      <c r="BA136" s="125">
        <f>AI136*Valores!$C$79</f>
        <v>85045.34719999999</v>
      </c>
      <c r="BB136" s="125">
        <f>AI136*Valores!$C$80</f>
        <v>37207.3394</v>
      </c>
      <c r="BC136" s="125">
        <f>AI136*Valores!$C$81</f>
        <v>5315.334199999999</v>
      </c>
      <c r="BD136" s="125">
        <f>AI136*Valores!$C$83</f>
        <v>18603.6697</v>
      </c>
      <c r="BE136" s="125">
        <f>AI136*Valores!$C$85</f>
        <v>28702.804679999997</v>
      </c>
      <c r="BF136" s="125">
        <f>AI136*Valores!$C$84</f>
        <v>3189.2005199999994</v>
      </c>
      <c r="BG136" s="126"/>
      <c r="BH136" s="126"/>
      <c r="BI136" s="123" t="s">
        <v>4</v>
      </c>
    </row>
    <row r="137" spans="1:61" s="110" customFormat="1" ht="11.25" customHeight="1">
      <c r="A137" s="123" t="s">
        <v>359</v>
      </c>
      <c r="B137" s="123">
        <v>1</v>
      </c>
      <c r="C137" s="126">
        <v>130</v>
      </c>
      <c r="D137" s="124" t="s">
        <v>360</v>
      </c>
      <c r="E137" s="192">
        <v>1278</v>
      </c>
      <c r="F137" s="125">
        <f>ROUND(E137*Valores!$C$2,2)</f>
        <v>105792.84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43640.66</v>
      </c>
      <c r="N137" s="125">
        <f t="shared" si="21"/>
        <v>0</v>
      </c>
      <c r="O137" s="125">
        <f>Valores!$C$16</f>
        <v>71528.26</v>
      </c>
      <c r="P137" s="125">
        <f>Valores!$D$5</f>
        <v>42317.14</v>
      </c>
      <c r="Q137" s="125">
        <v>0</v>
      </c>
      <c r="R137" s="125">
        <f>IF($F$4="NO",Valores!$C$45,Valores!$C$45/2)</f>
        <v>29395.49</v>
      </c>
      <c r="S137" s="125">
        <f>Valores!$C$19</f>
        <v>39374.32</v>
      </c>
      <c r="T137" s="125">
        <f t="shared" si="19"/>
        <v>39374.32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Valores!$C$96</f>
        <v>57944.18</v>
      </c>
      <c r="AA137" s="125">
        <f>Valores!$C$25</f>
        <v>1730.69</v>
      </c>
      <c r="AB137" s="214">
        <v>0</v>
      </c>
      <c r="AC137" s="125">
        <f t="shared" si="22"/>
        <v>0</v>
      </c>
      <c r="AD137" s="125">
        <f>Valores!$C$26</f>
        <v>1730.69</v>
      </c>
      <c r="AE137" s="192">
        <v>0</v>
      </c>
      <c r="AF137" s="125">
        <f>ROUND(AE137*Valores!$C$2,2)</f>
        <v>0</v>
      </c>
      <c r="AG137" s="125">
        <f>ROUND(IF($F$4="NO",Valores!$C$64,Valores!$C$64/2),2)</f>
        <v>19786.28</v>
      </c>
      <c r="AH137" s="125">
        <f>SUM(F137,H137,J137,L137,M137,N137,O137,P137,Q137,R137,T137,U137,V137,X137,Y137,Z137,AA137,AC137,AD137,AF137,AG137)*Valores!$C$104</f>
        <v>41324.05500000001</v>
      </c>
      <c r="AI137" s="125">
        <f aca="true" t="shared" si="25" ref="AI137:AI200">SUM(F137,H137,J137,L137,M137,N137,O137,P137,Q137,R137,T137,U137,V137,X137,Y137,Z137,AA137,AC137,AD137,AF137,AG137,AH137)</f>
        <v>454564.60500000004</v>
      </c>
      <c r="AJ137" s="125">
        <f>Valores!$C$31</f>
        <v>35000</v>
      </c>
      <c r="AK137" s="125">
        <v>0</v>
      </c>
      <c r="AL137" s="125">
        <f>Valores!$C$89</f>
        <v>0</v>
      </c>
      <c r="AM137" s="125">
        <f>Valores!C$39*B137</f>
        <v>0</v>
      </c>
      <c r="AN137" s="125">
        <f>IF($F$3="NO",0,Valores!$C$57)</f>
        <v>0</v>
      </c>
      <c r="AO137" s="125">
        <f t="shared" si="23"/>
        <v>35000</v>
      </c>
      <c r="AP137" s="125">
        <f>AI137*Valores!$C$72</f>
        <v>-50002.106550000004</v>
      </c>
      <c r="AQ137" s="125">
        <f>IF(AI137&lt;Valores!$E$73,-0.02,IF(AI137&lt;Valores!$F$73,-0.03,-0.04))*AI137</f>
        <v>-9091.2921</v>
      </c>
      <c r="AR137" s="125">
        <f>AI137*Valores!$C$75</f>
        <v>-25001.053275000002</v>
      </c>
      <c r="AS137" s="125">
        <f>Valores!$C$102</f>
        <v>-1270.16</v>
      </c>
      <c r="AT137" s="125">
        <f>IF($F$5=0,Valores!$C$103,(Valores!$C$103+$F$5*(Valores!$C$103)))</f>
        <v>-11714</v>
      </c>
      <c r="AU137" s="125">
        <f aca="true" t="shared" si="26" ref="AU137:AU200">AI137+SUM(AO137:AT137)</f>
        <v>392485.993075</v>
      </c>
      <c r="AV137" s="125">
        <f t="shared" si="20"/>
        <v>-50002.106550000004</v>
      </c>
      <c r="AW137" s="125">
        <f aca="true" t="shared" si="27" ref="AW137:AW200">AQ137</f>
        <v>-9091.2921</v>
      </c>
      <c r="AX137" s="125">
        <f>AI137*Valores!$C$76</f>
        <v>-12273.244335000001</v>
      </c>
      <c r="AY137" s="125">
        <f>AI137*Valores!$C$77</f>
        <v>-1363.693815</v>
      </c>
      <c r="AZ137" s="125">
        <f t="shared" si="24"/>
        <v>416834.26820000005</v>
      </c>
      <c r="BA137" s="125">
        <f>AI137*Valores!$C$79</f>
        <v>72730.3368</v>
      </c>
      <c r="BB137" s="125">
        <f>AI137*Valores!$C$80</f>
        <v>31819.522350000007</v>
      </c>
      <c r="BC137" s="125">
        <f>AI137*Valores!$C$81</f>
        <v>4545.64605</v>
      </c>
      <c r="BD137" s="125">
        <f>AI137*Valores!$C$83</f>
        <v>15909.761175000003</v>
      </c>
      <c r="BE137" s="125">
        <f>AI137*Valores!$C$85</f>
        <v>24546.488670000002</v>
      </c>
      <c r="BF137" s="125">
        <f>AI137*Valores!$C$84</f>
        <v>2727.38763</v>
      </c>
      <c r="BG137" s="126">
        <v>12</v>
      </c>
      <c r="BH137" s="126">
        <v>15</v>
      </c>
      <c r="BI137" s="123" t="s">
        <v>8</v>
      </c>
    </row>
    <row r="138" spans="1:61" s="110" customFormat="1" ht="11.25" customHeight="1">
      <c r="A138" s="123" t="s">
        <v>361</v>
      </c>
      <c r="B138" s="123">
        <v>1</v>
      </c>
      <c r="C138" s="126">
        <v>131</v>
      </c>
      <c r="D138" s="124" t="s">
        <v>362</v>
      </c>
      <c r="E138" s="192">
        <v>616</v>
      </c>
      <c r="F138" s="125">
        <f>ROUND(E138*Valores!$C$2,2)</f>
        <v>50992.48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29940.57</v>
      </c>
      <c r="N138" s="125">
        <f t="shared" si="21"/>
        <v>0</v>
      </c>
      <c r="O138" s="125">
        <f>Valores!$C$8</f>
        <v>103748.61</v>
      </c>
      <c r="P138" s="125">
        <f>Valores!$D$5</f>
        <v>42317.14</v>
      </c>
      <c r="Q138" s="125">
        <f>Valores!$C$22</f>
        <v>37751.3</v>
      </c>
      <c r="R138" s="125">
        <f>IF($F$4="NO",Valores!$C$45,Valores!$C$45/2)</f>
        <v>29395.49</v>
      </c>
      <c r="S138" s="125">
        <f>Valores!$C$19</f>
        <v>39374.32</v>
      </c>
      <c r="T138" s="125">
        <f t="shared" si="19"/>
        <v>39374.32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Valores!$C$96</f>
        <v>57944.18</v>
      </c>
      <c r="AA138" s="125">
        <f>Valores!$C$25</f>
        <v>1730.69</v>
      </c>
      <c r="AB138" s="214">
        <v>0</v>
      </c>
      <c r="AC138" s="125">
        <f t="shared" si="22"/>
        <v>0</v>
      </c>
      <c r="AD138" s="125">
        <f>Valores!$C$26</f>
        <v>1730.69</v>
      </c>
      <c r="AE138" s="192">
        <v>0</v>
      </c>
      <c r="AF138" s="125">
        <f>ROUND(AE138*Valores!$C$2,2)</f>
        <v>0</v>
      </c>
      <c r="AG138" s="125">
        <f>ROUND(IF($F$4="NO",Valores!$C$64,Valores!$C$64/2),2)</f>
        <v>19786.28</v>
      </c>
      <c r="AH138" s="125">
        <f>SUM(F138,H138,J138,L138,M138,N138,O138,P138,Q138,R138,T138,U138,V138,X138,Y138,Z138,AA138,AC138,AD138,AF138,AG138)*Valores!$C$104</f>
        <v>41471.175</v>
      </c>
      <c r="AI138" s="125">
        <f t="shared" si="25"/>
        <v>456182.925</v>
      </c>
      <c r="AJ138" s="125">
        <f>Valores!$C$31</f>
        <v>35000</v>
      </c>
      <c r="AK138" s="125">
        <v>0</v>
      </c>
      <c r="AL138" s="125">
        <f>Valores!$C$89</f>
        <v>0</v>
      </c>
      <c r="AM138" s="125">
        <f>Valores!C$39*B138</f>
        <v>0</v>
      </c>
      <c r="AN138" s="125">
        <f>IF($F$3="NO",0,Valores!$C$57)</f>
        <v>0</v>
      </c>
      <c r="AO138" s="125">
        <f t="shared" si="23"/>
        <v>35000</v>
      </c>
      <c r="AP138" s="125">
        <f>AI138*Valores!$C$72</f>
        <v>-50180.12175</v>
      </c>
      <c r="AQ138" s="125">
        <f>IF(AI138&lt;Valores!$E$73,-0.02,IF(AI138&lt;Valores!$F$73,-0.03,-0.04))*AI138</f>
        <v>-9123.6585</v>
      </c>
      <c r="AR138" s="125">
        <f>AI138*Valores!$C$75</f>
        <v>-25090.060875</v>
      </c>
      <c r="AS138" s="125">
        <f>Valores!$C$102</f>
        <v>-1270.16</v>
      </c>
      <c r="AT138" s="125">
        <f>IF($F$5=0,Valores!$C$103,(Valores!$C$103+$F$5*(Valores!$C$103)))</f>
        <v>-11714</v>
      </c>
      <c r="AU138" s="125">
        <f t="shared" si="26"/>
        <v>393804.923875</v>
      </c>
      <c r="AV138" s="125">
        <f t="shared" si="20"/>
        <v>-50180.12175</v>
      </c>
      <c r="AW138" s="125">
        <f t="shared" si="27"/>
        <v>-9123.6585</v>
      </c>
      <c r="AX138" s="125">
        <f>AI138*Valores!$C$76</f>
        <v>-12316.938975</v>
      </c>
      <c r="AY138" s="125">
        <f>AI138*Valores!$C$77</f>
        <v>-1368.548775</v>
      </c>
      <c r="AZ138" s="125">
        <f t="shared" si="24"/>
        <v>418193.657</v>
      </c>
      <c r="BA138" s="125">
        <f>AI138*Valores!$C$79</f>
        <v>72989.268</v>
      </c>
      <c r="BB138" s="125">
        <f>AI138*Valores!$C$80</f>
        <v>31932.804750000003</v>
      </c>
      <c r="BC138" s="125">
        <f>AI138*Valores!$C$81</f>
        <v>4561.82925</v>
      </c>
      <c r="BD138" s="125">
        <f>AI138*Valores!$C$83</f>
        <v>15966.402375000001</v>
      </c>
      <c r="BE138" s="125">
        <f>AI138*Valores!$C$85</f>
        <v>24633.87795</v>
      </c>
      <c r="BF138" s="125">
        <f>AI138*Valores!$C$84</f>
        <v>2737.09755</v>
      </c>
      <c r="BG138" s="126">
        <v>6</v>
      </c>
      <c r="BH138" s="126"/>
      <c r="BI138" s="123" t="s">
        <v>4</v>
      </c>
    </row>
    <row r="139" spans="1:61" s="110" customFormat="1" ht="11.25" customHeight="1">
      <c r="A139" s="123" t="s">
        <v>363</v>
      </c>
      <c r="B139" s="123">
        <v>1</v>
      </c>
      <c r="C139" s="126">
        <v>132</v>
      </c>
      <c r="D139" s="124" t="s">
        <v>364</v>
      </c>
      <c r="E139" s="192">
        <v>1278</v>
      </c>
      <c r="F139" s="125">
        <f>ROUND(E139*Valores!$C$2,2)</f>
        <v>105792.84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43540.02</v>
      </c>
      <c r="N139" s="125">
        <f t="shared" si="21"/>
        <v>0</v>
      </c>
      <c r="O139" s="125">
        <f>Valores!$C$16</f>
        <v>71528.26</v>
      </c>
      <c r="P139" s="125">
        <f>Valores!$D$5</f>
        <v>42317.14</v>
      </c>
      <c r="Q139" s="125">
        <v>0</v>
      </c>
      <c r="R139" s="125">
        <f>IF($F$4="NO",Valores!$C$45,Valores!$C$45/2)</f>
        <v>29395.49</v>
      </c>
      <c r="S139" s="125">
        <f>Valores!$C$20</f>
        <v>38971.76</v>
      </c>
      <c r="T139" s="125">
        <f aca="true" t="shared" si="28" ref="T139:T202">ROUND(S139*(1+$H$2),2)</f>
        <v>38971.76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Valores!$C$96</f>
        <v>57944.18</v>
      </c>
      <c r="AA139" s="125">
        <f>Valores!$C$25</f>
        <v>1730.69</v>
      </c>
      <c r="AB139" s="214">
        <v>0</v>
      </c>
      <c r="AC139" s="125">
        <f t="shared" si="22"/>
        <v>0</v>
      </c>
      <c r="AD139" s="125">
        <f>Valores!$C$26</f>
        <v>1730.69</v>
      </c>
      <c r="AE139" s="192">
        <v>0</v>
      </c>
      <c r="AF139" s="125">
        <f>ROUND(AE139*Valores!$C$2,2)</f>
        <v>0</v>
      </c>
      <c r="AG139" s="125">
        <f>ROUND(IF($F$4="NO",Valores!$C$64,Valores!$C$64/2),2)</f>
        <v>19786.28</v>
      </c>
      <c r="AH139" s="125">
        <f>SUM(F139,H139,J139,L139,M139,N139,O139,P139,Q139,R139,T139,U139,V139,X139,Y139,Z139,AA139,AC139,AD139,AF139,AG139)*Valores!$C$104</f>
        <v>41273.735</v>
      </c>
      <c r="AI139" s="125">
        <f t="shared" si="25"/>
        <v>454011.08499999996</v>
      </c>
      <c r="AJ139" s="125">
        <f>Valores!$C$31</f>
        <v>35000</v>
      </c>
      <c r="AK139" s="125">
        <v>0</v>
      </c>
      <c r="AL139" s="125">
        <f>Valores!$C$89</f>
        <v>0</v>
      </c>
      <c r="AM139" s="125">
        <f>Valores!C$39*B139</f>
        <v>0</v>
      </c>
      <c r="AN139" s="125">
        <f>(IF($F$3="NO",0,Valores!$C$59))</f>
        <v>0</v>
      </c>
      <c r="AO139" s="125">
        <f t="shared" si="23"/>
        <v>35000</v>
      </c>
      <c r="AP139" s="125">
        <f>AI139*Valores!$C$72</f>
        <v>-49941.21935</v>
      </c>
      <c r="AQ139" s="125">
        <f>IF(AI139&lt;Valores!$E$73,-0.02,IF(AI139&lt;Valores!$F$73,-0.03,-0.04))*AI139</f>
        <v>-9080.2217</v>
      </c>
      <c r="AR139" s="125">
        <f>AI139*Valores!$C$75</f>
        <v>-24970.609675</v>
      </c>
      <c r="AS139" s="125">
        <f>Valores!$C$102</f>
        <v>-1270.16</v>
      </c>
      <c r="AT139" s="125">
        <f>IF($F$5=0,Valores!$C$103,(Valores!$C$103+$F$5*(Valores!$C$103)))</f>
        <v>-11714</v>
      </c>
      <c r="AU139" s="125">
        <f t="shared" si="26"/>
        <v>392034.87427499995</v>
      </c>
      <c r="AV139" s="125">
        <f t="shared" si="20"/>
        <v>-49941.21935</v>
      </c>
      <c r="AW139" s="125">
        <f t="shared" si="27"/>
        <v>-9080.2217</v>
      </c>
      <c r="AX139" s="125">
        <f>AI139*Valores!$C$76</f>
        <v>-12258.299294999999</v>
      </c>
      <c r="AY139" s="125">
        <f>AI139*Valores!$C$77</f>
        <v>-1362.0332549999998</v>
      </c>
      <c r="AZ139" s="125">
        <f t="shared" si="24"/>
        <v>416369.31139999995</v>
      </c>
      <c r="BA139" s="125">
        <f>AI139*Valores!$C$79</f>
        <v>72641.7736</v>
      </c>
      <c r="BB139" s="125">
        <f>AI139*Valores!$C$80</f>
        <v>31780.77595</v>
      </c>
      <c r="BC139" s="125">
        <f>AI139*Valores!$C$81</f>
        <v>4540.11085</v>
      </c>
      <c r="BD139" s="125">
        <f>AI139*Valores!$C$83</f>
        <v>15890.387975</v>
      </c>
      <c r="BE139" s="125">
        <f>AI139*Valores!$C$85</f>
        <v>24516.598589999998</v>
      </c>
      <c r="BF139" s="125">
        <f>AI139*Valores!$C$84</f>
        <v>2724.0665099999997</v>
      </c>
      <c r="BG139" s="126">
        <v>12</v>
      </c>
      <c r="BH139" s="126">
        <v>15</v>
      </c>
      <c r="BI139" s="123" t="s">
        <v>4</v>
      </c>
    </row>
    <row r="140" spans="1:61" s="110" customFormat="1" ht="11.25" customHeight="1">
      <c r="A140" s="123" t="s">
        <v>365</v>
      </c>
      <c r="B140" s="123">
        <v>1</v>
      </c>
      <c r="C140" s="126">
        <v>133</v>
      </c>
      <c r="D140" s="124" t="s">
        <v>366</v>
      </c>
      <c r="E140" s="192">
        <v>1983</v>
      </c>
      <c r="F140" s="125">
        <f>ROUND(E140*Valores!$C$2,2)</f>
        <v>164152.74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58230.64</v>
      </c>
      <c r="N140" s="125">
        <f t="shared" si="21"/>
        <v>0</v>
      </c>
      <c r="O140" s="125">
        <f>Valores!$C$8</f>
        <v>103748.61</v>
      </c>
      <c r="P140" s="125">
        <f>Valores!$D$5</f>
        <v>42317.14</v>
      </c>
      <c r="Q140" s="125">
        <f>Valores!$C$22</f>
        <v>37751.3</v>
      </c>
      <c r="R140" s="125">
        <f>IF($F$4="NO",Valores!$C$45,Valores!$C$45/2)</f>
        <v>29395.49</v>
      </c>
      <c r="S140" s="125">
        <f>Valores!$C$19</f>
        <v>39374.32</v>
      </c>
      <c r="T140" s="125">
        <f t="shared" si="28"/>
        <v>39374.32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Valores!$C$96</f>
        <v>57944.18</v>
      </c>
      <c r="AA140" s="125">
        <f>Valores!$C$25</f>
        <v>1730.69</v>
      </c>
      <c r="AB140" s="214">
        <v>0</v>
      </c>
      <c r="AC140" s="125">
        <f t="shared" si="22"/>
        <v>0</v>
      </c>
      <c r="AD140" s="125">
        <f>Valores!$C$26</f>
        <v>1730.69</v>
      </c>
      <c r="AE140" s="192">
        <v>94</v>
      </c>
      <c r="AF140" s="125">
        <f>ROUND(AE140*Valores!$C$2,2)</f>
        <v>7781.32</v>
      </c>
      <c r="AG140" s="125">
        <f>ROUND(IF($F$4="NO",Valores!$C$64,Valores!$C$64/2),2)</f>
        <v>19786.28</v>
      </c>
      <c r="AH140" s="125">
        <f>SUM(F140,H140,J140,L140,M140,N140,O140,P140,Q140,R140,T140,U140,V140,X140,Y140,Z140,AA140,AC140,AD140,AF140,AG140)*Valores!$C$104</f>
        <v>56394.34</v>
      </c>
      <c r="AI140" s="125">
        <f t="shared" si="25"/>
        <v>620337.7399999999</v>
      </c>
      <c r="AJ140" s="125">
        <f>Valores!$C$31</f>
        <v>35000</v>
      </c>
      <c r="AK140" s="125">
        <v>0</v>
      </c>
      <c r="AL140" s="125">
        <f>Valores!$C$89</f>
        <v>0</v>
      </c>
      <c r="AM140" s="125">
        <f>Valores!C$39*B140</f>
        <v>0</v>
      </c>
      <c r="AN140" s="125">
        <f>IF($F$3="NO",0,Valores!$C$57)</f>
        <v>0</v>
      </c>
      <c r="AO140" s="125">
        <f t="shared" si="23"/>
        <v>35000</v>
      </c>
      <c r="AP140" s="125">
        <f>AI140*Valores!$C$72</f>
        <v>-68237.15139999999</v>
      </c>
      <c r="AQ140" s="125">
        <f>IF(AI140&lt;Valores!$E$73,-0.02,IF(AI140&lt;Valores!$F$73,-0.03,-0.04))*AI140</f>
        <v>-12406.754799999997</v>
      </c>
      <c r="AR140" s="125">
        <f>AI140*Valores!$C$75</f>
        <v>-34118.575699999994</v>
      </c>
      <c r="AS140" s="125">
        <f>Valores!$C$102</f>
        <v>-1270.16</v>
      </c>
      <c r="AT140" s="125">
        <f>IF($F$5=0,Valores!$C$103,(Valores!$C$103+$F$5*(Valores!$C$103)))</f>
        <v>-11714</v>
      </c>
      <c r="AU140" s="125">
        <f t="shared" si="26"/>
        <v>527591.0980999998</v>
      </c>
      <c r="AV140" s="125">
        <f t="shared" si="20"/>
        <v>-68237.15139999999</v>
      </c>
      <c r="AW140" s="125">
        <f t="shared" si="27"/>
        <v>-12406.754799999997</v>
      </c>
      <c r="AX140" s="125">
        <f>AI140*Valores!$C$76</f>
        <v>-16749.118979999996</v>
      </c>
      <c r="AY140" s="125">
        <f>AI140*Valores!$C$77</f>
        <v>-1861.0132199999996</v>
      </c>
      <c r="AZ140" s="125">
        <f t="shared" si="24"/>
        <v>556083.7015999999</v>
      </c>
      <c r="BA140" s="125">
        <f>AI140*Valores!$C$79</f>
        <v>99254.03839999998</v>
      </c>
      <c r="BB140" s="125">
        <f>AI140*Valores!$C$80</f>
        <v>43423.6418</v>
      </c>
      <c r="BC140" s="125">
        <f>AI140*Valores!$C$81</f>
        <v>6203.3773999999985</v>
      </c>
      <c r="BD140" s="125">
        <f>AI140*Valores!$C$83</f>
        <v>21711.8209</v>
      </c>
      <c r="BE140" s="125">
        <f>AI140*Valores!$C$85</f>
        <v>33498.23795999999</v>
      </c>
      <c r="BF140" s="125">
        <f>AI140*Valores!$C$84</f>
        <v>3722.026439999999</v>
      </c>
      <c r="BG140" s="126"/>
      <c r="BH140" s="126"/>
      <c r="BI140" s="123" t="s">
        <v>8</v>
      </c>
    </row>
    <row r="141" spans="1:61" s="110" customFormat="1" ht="11.25" customHeight="1">
      <c r="A141" s="123" t="s">
        <v>367</v>
      </c>
      <c r="B141" s="123">
        <v>1</v>
      </c>
      <c r="C141" s="126">
        <v>134</v>
      </c>
      <c r="D141" s="124" t="s">
        <v>368</v>
      </c>
      <c r="E141" s="192">
        <v>1378</v>
      </c>
      <c r="F141" s="125">
        <f>ROUND(E141*Valores!$C$2,2)</f>
        <v>114070.84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45609.52</v>
      </c>
      <c r="N141" s="125">
        <f t="shared" si="21"/>
        <v>0</v>
      </c>
      <c r="O141" s="125">
        <f>Valores!$C$16</f>
        <v>71528.26</v>
      </c>
      <c r="P141" s="125">
        <f>Valores!$D$5</f>
        <v>42317.14</v>
      </c>
      <c r="Q141" s="125">
        <f>Valores!$C$22</f>
        <v>37751.3</v>
      </c>
      <c r="R141" s="125">
        <f>IF($F$4="NO",Valores!$C$45,Valores!$C$45/2)</f>
        <v>29395.49</v>
      </c>
      <c r="S141" s="125">
        <f>Valores!$C$20</f>
        <v>38971.76</v>
      </c>
      <c r="T141" s="125">
        <f t="shared" si="28"/>
        <v>38971.76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Valores!$C$96</f>
        <v>57944.18</v>
      </c>
      <c r="AA141" s="125">
        <f>Valores!$C$25</f>
        <v>1730.69</v>
      </c>
      <c r="AB141" s="214">
        <v>0</v>
      </c>
      <c r="AC141" s="125">
        <f t="shared" si="22"/>
        <v>0</v>
      </c>
      <c r="AD141" s="125">
        <f>Valores!$C$26</f>
        <v>1730.69</v>
      </c>
      <c r="AE141" s="192">
        <v>0</v>
      </c>
      <c r="AF141" s="125">
        <f>ROUND(AE141*Valores!$C$2,2)</f>
        <v>0</v>
      </c>
      <c r="AG141" s="125">
        <f>ROUND(IF($F$4="NO",Valores!$C$64,Valores!$C$64/2),2)</f>
        <v>19786.28</v>
      </c>
      <c r="AH141" s="125">
        <f>SUM(F141,H141,J141,L141,M141,N141,O141,P141,Q141,R141,T141,U141,V141,X141,Y141,Z141,AA141,AC141,AD141,AF141,AG141)*Valores!$C$104</f>
        <v>46083.615000000005</v>
      </c>
      <c r="AI141" s="125">
        <f t="shared" si="25"/>
        <v>506919.765</v>
      </c>
      <c r="AJ141" s="125">
        <f>Valores!$C$31</f>
        <v>35000</v>
      </c>
      <c r="AK141" s="125">
        <v>0</v>
      </c>
      <c r="AL141" s="125">
        <f>Valores!$C$89</f>
        <v>0</v>
      </c>
      <c r="AM141" s="125">
        <f>Valores!C$39*B141</f>
        <v>0</v>
      </c>
      <c r="AN141" s="125">
        <f>IF($F$3="NO",0,Valores!$C$57)</f>
        <v>0</v>
      </c>
      <c r="AO141" s="125">
        <f t="shared" si="23"/>
        <v>35000</v>
      </c>
      <c r="AP141" s="125">
        <f>AI141*Valores!$C$72</f>
        <v>-55761.17415</v>
      </c>
      <c r="AQ141" s="125">
        <f>IF(AI141&lt;Valores!$E$73,-0.02,IF(AI141&lt;Valores!$F$73,-0.03,-0.04))*AI141</f>
        <v>-10138.3953</v>
      </c>
      <c r="AR141" s="125">
        <f>AI141*Valores!$C$75</f>
        <v>-27880.587075</v>
      </c>
      <c r="AS141" s="125">
        <f>Valores!$C$102</f>
        <v>-1270.16</v>
      </c>
      <c r="AT141" s="125">
        <f>IF($F$5=0,Valores!$C$103,(Valores!$C$103+$F$5*(Valores!$C$103)))</f>
        <v>-11714</v>
      </c>
      <c r="AU141" s="125">
        <f t="shared" si="26"/>
        <v>435155.448475</v>
      </c>
      <c r="AV141" s="125">
        <f t="shared" si="20"/>
        <v>-55761.17415</v>
      </c>
      <c r="AW141" s="125">
        <f t="shared" si="27"/>
        <v>-10138.3953</v>
      </c>
      <c r="AX141" s="125">
        <f>AI141*Valores!$C$76</f>
        <v>-13686.833655</v>
      </c>
      <c r="AY141" s="125">
        <f>AI141*Valores!$C$77</f>
        <v>-1520.759295</v>
      </c>
      <c r="AZ141" s="125">
        <f t="shared" si="24"/>
        <v>460812.60260000004</v>
      </c>
      <c r="BA141" s="125">
        <f>AI141*Valores!$C$79</f>
        <v>81107.1624</v>
      </c>
      <c r="BB141" s="125">
        <f>AI141*Valores!$C$80</f>
        <v>35484.383550000006</v>
      </c>
      <c r="BC141" s="125">
        <f>AI141*Valores!$C$81</f>
        <v>5069.19765</v>
      </c>
      <c r="BD141" s="125">
        <f>AI141*Valores!$C$83</f>
        <v>17742.191775000003</v>
      </c>
      <c r="BE141" s="125">
        <f>AI141*Valores!$C$85</f>
        <v>27373.66731</v>
      </c>
      <c r="BF141" s="125">
        <f>AI141*Valores!$C$84</f>
        <v>3041.51859</v>
      </c>
      <c r="BG141" s="126"/>
      <c r="BH141" s="126">
        <v>22</v>
      </c>
      <c r="BI141" s="123" t="s">
        <v>4</v>
      </c>
    </row>
    <row r="142" spans="1:61" s="110" customFormat="1" ht="11.25" customHeight="1">
      <c r="A142" s="123" t="s">
        <v>369</v>
      </c>
      <c r="B142" s="123">
        <v>1</v>
      </c>
      <c r="C142" s="126">
        <v>135</v>
      </c>
      <c r="D142" s="124" t="s">
        <v>370</v>
      </c>
      <c r="E142" s="192">
        <v>1278</v>
      </c>
      <c r="F142" s="125">
        <f>ROUND(E142*Valores!$C$2,2)</f>
        <v>105792.84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43640.66</v>
      </c>
      <c r="N142" s="125">
        <f t="shared" si="21"/>
        <v>0</v>
      </c>
      <c r="O142" s="125">
        <f>Valores!$C$16</f>
        <v>71528.26</v>
      </c>
      <c r="P142" s="125">
        <f>Valores!$D$5</f>
        <v>42317.14</v>
      </c>
      <c r="Q142" s="125">
        <f>Valores!$C$22</f>
        <v>37751.3</v>
      </c>
      <c r="R142" s="125">
        <f>IF($F$4="NO",Valores!$C$45,Valores!$C$45/2)</f>
        <v>29395.49</v>
      </c>
      <c r="S142" s="125">
        <f>Valores!$C$19</f>
        <v>39374.32</v>
      </c>
      <c r="T142" s="125">
        <f t="shared" si="28"/>
        <v>39374.32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Valores!$C$96</f>
        <v>57944.18</v>
      </c>
      <c r="AA142" s="125">
        <f>Valores!$C$25</f>
        <v>1730.69</v>
      </c>
      <c r="AB142" s="214">
        <v>0</v>
      </c>
      <c r="AC142" s="125">
        <f t="shared" si="22"/>
        <v>0</v>
      </c>
      <c r="AD142" s="125">
        <f>Valores!$C$26</f>
        <v>1730.69</v>
      </c>
      <c r="AE142" s="192">
        <v>0</v>
      </c>
      <c r="AF142" s="125">
        <f>ROUND(AE142*Valores!$C$2,2)</f>
        <v>0</v>
      </c>
      <c r="AG142" s="125">
        <f>ROUND(IF($F$4="NO",Valores!$C$64,Valores!$C$64/2),2)</f>
        <v>19786.28</v>
      </c>
      <c r="AH142" s="125">
        <f>SUM(F142,H142,J142,L142,M142,N142,O142,P142,Q142,R142,T142,U142,V142,X142,Y142,Z142,AA142,AC142,AD142,AF142,AG142)*Valores!$C$104</f>
        <v>45099.185</v>
      </c>
      <c r="AI142" s="125">
        <f t="shared" si="25"/>
        <v>496091.035</v>
      </c>
      <c r="AJ142" s="125">
        <f>Valores!$C$31</f>
        <v>35000</v>
      </c>
      <c r="AK142" s="125">
        <v>0</v>
      </c>
      <c r="AL142" s="125">
        <f>Valores!$C$89</f>
        <v>0</v>
      </c>
      <c r="AM142" s="125">
        <f>Valores!C$39*B142</f>
        <v>0</v>
      </c>
      <c r="AN142" s="125">
        <f>IF($F$3="NO",0,Valores!$C$57)</f>
        <v>0</v>
      </c>
      <c r="AO142" s="125">
        <f t="shared" si="23"/>
        <v>35000</v>
      </c>
      <c r="AP142" s="125">
        <f>AI142*Valores!$C$72</f>
        <v>-54570.013849999996</v>
      </c>
      <c r="AQ142" s="125">
        <f>IF(AI142&lt;Valores!$E$73,-0.02,IF(AI142&lt;Valores!$F$73,-0.03,-0.04))*AI142</f>
        <v>-9921.8207</v>
      </c>
      <c r="AR142" s="125">
        <f>AI142*Valores!$C$75</f>
        <v>-27285.006924999998</v>
      </c>
      <c r="AS142" s="125">
        <f>Valores!$C$102</f>
        <v>-1270.16</v>
      </c>
      <c r="AT142" s="125">
        <f>IF($F$5=0,Valores!$C$103,(Valores!$C$103+$F$5*(Valores!$C$103)))</f>
        <v>-11714</v>
      </c>
      <c r="AU142" s="125">
        <f t="shared" si="26"/>
        <v>426330.033525</v>
      </c>
      <c r="AV142" s="125">
        <f t="shared" si="20"/>
        <v>-54570.013849999996</v>
      </c>
      <c r="AW142" s="125">
        <f t="shared" si="27"/>
        <v>-9921.8207</v>
      </c>
      <c r="AX142" s="125">
        <f>AI142*Valores!$C$76</f>
        <v>-13394.457944999998</v>
      </c>
      <c r="AY142" s="125">
        <f>AI142*Valores!$C$77</f>
        <v>-1488.273105</v>
      </c>
      <c r="AZ142" s="125">
        <f t="shared" si="24"/>
        <v>451716.46939999994</v>
      </c>
      <c r="BA142" s="125">
        <f>AI142*Valores!$C$79</f>
        <v>79374.5656</v>
      </c>
      <c r="BB142" s="125">
        <f>AI142*Valores!$C$80</f>
        <v>34726.37245</v>
      </c>
      <c r="BC142" s="125">
        <f>AI142*Valores!$C$81</f>
        <v>4960.91035</v>
      </c>
      <c r="BD142" s="125">
        <f>AI142*Valores!$C$83</f>
        <v>17363.186225</v>
      </c>
      <c r="BE142" s="125">
        <f>AI142*Valores!$C$85</f>
        <v>26788.915889999997</v>
      </c>
      <c r="BF142" s="125">
        <f>AI142*Valores!$C$84</f>
        <v>2976.54621</v>
      </c>
      <c r="BG142" s="126"/>
      <c r="BH142" s="126">
        <v>22</v>
      </c>
      <c r="BI142" s="123" t="s">
        <v>4</v>
      </c>
    </row>
    <row r="143" spans="1:61" s="110" customFormat="1" ht="11.25" customHeight="1">
      <c r="A143" s="123" t="s">
        <v>371</v>
      </c>
      <c r="B143" s="123">
        <v>1</v>
      </c>
      <c r="C143" s="126">
        <v>136</v>
      </c>
      <c r="D143" s="124" t="s">
        <v>372</v>
      </c>
      <c r="E143" s="192">
        <v>1278</v>
      </c>
      <c r="F143" s="125">
        <f>ROUND(E143*Valores!$C$2,2)</f>
        <v>105792.84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43640.66</v>
      </c>
      <c r="N143" s="125">
        <f t="shared" si="21"/>
        <v>0</v>
      </c>
      <c r="O143" s="125">
        <f>Valores!$C$16</f>
        <v>71528.26</v>
      </c>
      <c r="P143" s="125">
        <f>Valores!$D$5</f>
        <v>42317.14</v>
      </c>
      <c r="Q143" s="125">
        <f>Valores!$C$22</f>
        <v>37751.3</v>
      </c>
      <c r="R143" s="125">
        <f>IF($F$4="NO",Valores!$C$45,Valores!$C$45/2)</f>
        <v>29395.49</v>
      </c>
      <c r="S143" s="125">
        <f>Valores!$C$19</f>
        <v>39374.32</v>
      </c>
      <c r="T143" s="125">
        <f t="shared" si="28"/>
        <v>39374.32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Valores!$C$96</f>
        <v>57944.18</v>
      </c>
      <c r="AA143" s="125">
        <f>Valores!$C$25</f>
        <v>1730.69</v>
      </c>
      <c r="AB143" s="214">
        <v>0</v>
      </c>
      <c r="AC143" s="125">
        <f t="shared" si="22"/>
        <v>0</v>
      </c>
      <c r="AD143" s="125">
        <f>Valores!$C$26</f>
        <v>1730.69</v>
      </c>
      <c r="AE143" s="192">
        <v>0</v>
      </c>
      <c r="AF143" s="125">
        <f>ROUND(AE143*Valores!$C$2,2)</f>
        <v>0</v>
      </c>
      <c r="AG143" s="125">
        <f>ROUND(IF($F$4="NO",Valores!$C$64,Valores!$C$64/2),2)</f>
        <v>19786.28</v>
      </c>
      <c r="AH143" s="125">
        <f>SUM(F143,H143,J143,L143,M143,N143,O143,P143,Q143,R143,T143,U143,V143,X143,Y143,Z143,AA143,AC143,AD143,AF143,AG143)*Valores!$C$104</f>
        <v>45099.185</v>
      </c>
      <c r="AI143" s="125">
        <f t="shared" si="25"/>
        <v>496091.035</v>
      </c>
      <c r="AJ143" s="125">
        <f>Valores!$C$31</f>
        <v>35000</v>
      </c>
      <c r="AK143" s="125">
        <v>0</v>
      </c>
      <c r="AL143" s="125">
        <f>Valores!$C$89</f>
        <v>0</v>
      </c>
      <c r="AM143" s="125">
        <f>Valores!C$39*B143</f>
        <v>0</v>
      </c>
      <c r="AN143" s="125">
        <f>IF($F$3="NO",0,Valores!$C$57)</f>
        <v>0</v>
      </c>
      <c r="AO143" s="125">
        <f t="shared" si="23"/>
        <v>35000</v>
      </c>
      <c r="AP143" s="125">
        <f>AI143*Valores!$C$72</f>
        <v>-54570.013849999996</v>
      </c>
      <c r="AQ143" s="125">
        <f>IF(AI143&lt;Valores!$E$73,-0.02,IF(AI143&lt;Valores!$F$73,-0.03,-0.04))*AI143</f>
        <v>-9921.8207</v>
      </c>
      <c r="AR143" s="125">
        <f>AI143*Valores!$C$75</f>
        <v>-27285.006924999998</v>
      </c>
      <c r="AS143" s="125">
        <f>Valores!$C$102</f>
        <v>-1270.16</v>
      </c>
      <c r="AT143" s="125">
        <f>IF($F$5=0,Valores!$C$103,(Valores!$C$103+$F$5*(Valores!$C$103)))</f>
        <v>-11714</v>
      </c>
      <c r="AU143" s="125">
        <f t="shared" si="26"/>
        <v>426330.033525</v>
      </c>
      <c r="AV143" s="125">
        <f t="shared" si="20"/>
        <v>-54570.013849999996</v>
      </c>
      <c r="AW143" s="125">
        <f t="shared" si="27"/>
        <v>-9921.8207</v>
      </c>
      <c r="AX143" s="125">
        <f>AI143*Valores!$C$76</f>
        <v>-13394.457944999998</v>
      </c>
      <c r="AY143" s="125">
        <f>AI143*Valores!$C$77</f>
        <v>-1488.273105</v>
      </c>
      <c r="AZ143" s="125">
        <f t="shared" si="24"/>
        <v>451716.46939999994</v>
      </c>
      <c r="BA143" s="125">
        <f>AI143*Valores!$C$79</f>
        <v>79374.5656</v>
      </c>
      <c r="BB143" s="125">
        <f>AI143*Valores!$C$80</f>
        <v>34726.37245</v>
      </c>
      <c r="BC143" s="125">
        <f>AI143*Valores!$C$81</f>
        <v>4960.91035</v>
      </c>
      <c r="BD143" s="125">
        <f>AI143*Valores!$C$83</f>
        <v>17363.186225</v>
      </c>
      <c r="BE143" s="125">
        <f>AI143*Valores!$C$85</f>
        <v>26788.915889999997</v>
      </c>
      <c r="BF143" s="125">
        <f>AI143*Valores!$C$84</f>
        <v>2976.54621</v>
      </c>
      <c r="BG143" s="126"/>
      <c r="BH143" s="126"/>
      <c r="BI143" s="123" t="s">
        <v>4</v>
      </c>
    </row>
    <row r="144" spans="1:61" s="110" customFormat="1" ht="11.25" customHeight="1">
      <c r="A144" s="123" t="s">
        <v>373</v>
      </c>
      <c r="B144" s="123">
        <v>1</v>
      </c>
      <c r="C144" s="126">
        <v>137</v>
      </c>
      <c r="D144" s="124" t="s">
        <v>374</v>
      </c>
      <c r="E144" s="192">
        <v>1278</v>
      </c>
      <c r="F144" s="125">
        <f>ROUND(E144*Valores!$C$2,2)</f>
        <v>105792.84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43640.66</v>
      </c>
      <c r="N144" s="125">
        <f t="shared" si="21"/>
        <v>0</v>
      </c>
      <c r="O144" s="125">
        <f>Valores!$C$16</f>
        <v>71528.26</v>
      </c>
      <c r="P144" s="125">
        <f>Valores!$D$5</f>
        <v>42317.14</v>
      </c>
      <c r="Q144" s="125">
        <f>Valores!$C$22</f>
        <v>37751.3</v>
      </c>
      <c r="R144" s="125">
        <f>IF($F$4="NO",Valores!$C$45,Valores!$C$45/2)</f>
        <v>29395.49</v>
      </c>
      <c r="S144" s="125">
        <f>Valores!$C$19</f>
        <v>39374.32</v>
      </c>
      <c r="T144" s="125">
        <f t="shared" si="28"/>
        <v>39374.32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Valores!$C$96</f>
        <v>57944.18</v>
      </c>
      <c r="AA144" s="125">
        <f>Valores!$C$25</f>
        <v>1730.69</v>
      </c>
      <c r="AB144" s="214">
        <v>0</v>
      </c>
      <c r="AC144" s="125">
        <f t="shared" si="22"/>
        <v>0</v>
      </c>
      <c r="AD144" s="125">
        <f>Valores!$C$26</f>
        <v>1730.69</v>
      </c>
      <c r="AE144" s="192">
        <v>0</v>
      </c>
      <c r="AF144" s="125">
        <f>ROUND(AE144*Valores!$C$2,2)</f>
        <v>0</v>
      </c>
      <c r="AG144" s="125">
        <f>ROUND(IF($F$4="NO",Valores!$C$64,Valores!$C$64/2),2)</f>
        <v>19786.28</v>
      </c>
      <c r="AH144" s="125">
        <f>SUM(F144,H144,J144,L144,M144,N144,O144,P144,Q144,R144,T144,U144,V144,X144,Y144,Z144,AA144,AC144,AD144,AF144,AG144)*Valores!$C$104</f>
        <v>45099.185</v>
      </c>
      <c r="AI144" s="125">
        <f t="shared" si="25"/>
        <v>496091.035</v>
      </c>
      <c r="AJ144" s="125">
        <f>Valores!$C$31</f>
        <v>35000</v>
      </c>
      <c r="AK144" s="125">
        <v>0</v>
      </c>
      <c r="AL144" s="125">
        <f>Valores!$C$89</f>
        <v>0</v>
      </c>
      <c r="AM144" s="125">
        <f>Valores!C$39*B144</f>
        <v>0</v>
      </c>
      <c r="AN144" s="125">
        <f>IF($F$3="NO",0,Valores!$C$57)</f>
        <v>0</v>
      </c>
      <c r="AO144" s="125">
        <f t="shared" si="23"/>
        <v>35000</v>
      </c>
      <c r="AP144" s="125">
        <f>AI144*Valores!$C$72</f>
        <v>-54570.013849999996</v>
      </c>
      <c r="AQ144" s="125">
        <f>IF(AI144&lt;Valores!$E$73,-0.02,IF(AI144&lt;Valores!$F$73,-0.03,-0.04))*AI144</f>
        <v>-9921.8207</v>
      </c>
      <c r="AR144" s="125">
        <f>AI144*Valores!$C$75</f>
        <v>-27285.006924999998</v>
      </c>
      <c r="AS144" s="125">
        <f>Valores!$C$102</f>
        <v>-1270.16</v>
      </c>
      <c r="AT144" s="125">
        <f>IF($F$5=0,Valores!$C$103,(Valores!$C$103+$F$5*(Valores!$C$103)))</f>
        <v>-11714</v>
      </c>
      <c r="AU144" s="125">
        <f t="shared" si="26"/>
        <v>426330.033525</v>
      </c>
      <c r="AV144" s="125">
        <f t="shared" si="20"/>
        <v>-54570.013849999996</v>
      </c>
      <c r="AW144" s="125">
        <f t="shared" si="27"/>
        <v>-9921.8207</v>
      </c>
      <c r="AX144" s="125">
        <f>AI144*Valores!$C$76</f>
        <v>-13394.457944999998</v>
      </c>
      <c r="AY144" s="125">
        <f>AI144*Valores!$C$77</f>
        <v>-1488.273105</v>
      </c>
      <c r="AZ144" s="125">
        <f t="shared" si="24"/>
        <v>451716.46939999994</v>
      </c>
      <c r="BA144" s="125">
        <f>AI144*Valores!$C$79</f>
        <v>79374.5656</v>
      </c>
      <c r="BB144" s="125">
        <f>AI144*Valores!$C$80</f>
        <v>34726.37245</v>
      </c>
      <c r="BC144" s="125">
        <f>AI144*Valores!$C$81</f>
        <v>4960.91035</v>
      </c>
      <c r="BD144" s="125">
        <f>AI144*Valores!$C$83</f>
        <v>17363.186225</v>
      </c>
      <c r="BE144" s="125">
        <f>AI144*Valores!$C$85</f>
        <v>26788.915889999997</v>
      </c>
      <c r="BF144" s="125">
        <f>AI144*Valores!$C$84</f>
        <v>2976.54621</v>
      </c>
      <c r="BG144" s="126"/>
      <c r="BH144" s="126">
        <v>20</v>
      </c>
      <c r="BI144" s="123" t="s">
        <v>4</v>
      </c>
    </row>
    <row r="145" spans="1:61" s="110" customFormat="1" ht="11.25" customHeight="1">
      <c r="A145" s="123" t="s">
        <v>375</v>
      </c>
      <c r="B145" s="123">
        <v>1</v>
      </c>
      <c r="C145" s="126">
        <v>138</v>
      </c>
      <c r="D145" s="124" t="s">
        <v>376</v>
      </c>
      <c r="E145" s="192">
        <v>1278</v>
      </c>
      <c r="F145" s="125">
        <f>ROUND(E145*Valores!$C$2,2)</f>
        <v>105792.84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43640.66</v>
      </c>
      <c r="N145" s="125">
        <f t="shared" si="21"/>
        <v>0</v>
      </c>
      <c r="O145" s="125">
        <f>Valores!$C$16</f>
        <v>71528.26</v>
      </c>
      <c r="P145" s="125">
        <f>Valores!$D$5</f>
        <v>42317.14</v>
      </c>
      <c r="Q145" s="125">
        <f>Valores!$C$22</f>
        <v>37751.3</v>
      </c>
      <c r="R145" s="125">
        <f>IF($F$4="NO",Valores!$C$45,Valores!$C$45/2)</f>
        <v>29395.49</v>
      </c>
      <c r="S145" s="125">
        <f>Valores!$C$19</f>
        <v>39374.32</v>
      </c>
      <c r="T145" s="125">
        <f t="shared" si="28"/>
        <v>39374.32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Valores!$C$96</f>
        <v>57944.18</v>
      </c>
      <c r="AA145" s="125">
        <f>Valores!$C$25</f>
        <v>1730.69</v>
      </c>
      <c r="AB145" s="214">
        <v>0</v>
      </c>
      <c r="AC145" s="125">
        <f t="shared" si="22"/>
        <v>0</v>
      </c>
      <c r="AD145" s="125">
        <f>Valores!$C$26</f>
        <v>1730.69</v>
      </c>
      <c r="AE145" s="192">
        <v>94</v>
      </c>
      <c r="AF145" s="125">
        <f>ROUND(AE145*Valores!$C$2,2)</f>
        <v>7781.32</v>
      </c>
      <c r="AG145" s="125">
        <f>ROUND(IF($F$4="NO",Valores!$C$64,Valores!$C$64/2),2)</f>
        <v>19786.28</v>
      </c>
      <c r="AH145" s="125">
        <f>SUM(F145,H145,J145,L145,M145,N145,O145,P145,Q145,R145,T145,U145,V145,X145,Y145,Z145,AA145,AC145,AD145,AF145,AG145)*Valores!$C$104</f>
        <v>45877.31700000001</v>
      </c>
      <c r="AI145" s="125">
        <f t="shared" si="25"/>
        <v>504650.4870000001</v>
      </c>
      <c r="AJ145" s="125">
        <f>Valores!$C$31</f>
        <v>35000</v>
      </c>
      <c r="AK145" s="125">
        <v>0</v>
      </c>
      <c r="AL145" s="125">
        <f>Valores!$C$89</f>
        <v>0</v>
      </c>
      <c r="AM145" s="125">
        <f>Valores!C$39*B145</f>
        <v>0</v>
      </c>
      <c r="AN145" s="125">
        <f>IF($F$3="NO",0,Valores!$C$57)</f>
        <v>0</v>
      </c>
      <c r="AO145" s="125">
        <f t="shared" si="23"/>
        <v>35000</v>
      </c>
      <c r="AP145" s="125">
        <f>AI145*Valores!$C$72</f>
        <v>-55511.55357000001</v>
      </c>
      <c r="AQ145" s="125">
        <f>IF(AI145&lt;Valores!$E$73,-0.02,IF(AI145&lt;Valores!$F$73,-0.03,-0.04))*AI145</f>
        <v>-10093.009740000001</v>
      </c>
      <c r="AR145" s="125">
        <f>AI145*Valores!$C$75</f>
        <v>-27755.776785000005</v>
      </c>
      <c r="AS145" s="125">
        <f>Valores!$C$102</f>
        <v>-1270.16</v>
      </c>
      <c r="AT145" s="125">
        <f>IF($F$5=0,Valores!$C$103,(Valores!$C$103+$F$5*(Valores!$C$103)))</f>
        <v>-11714</v>
      </c>
      <c r="AU145" s="125">
        <f t="shared" si="26"/>
        <v>433305.98690500006</v>
      </c>
      <c r="AV145" s="125">
        <f t="shared" si="20"/>
        <v>-55511.55357000001</v>
      </c>
      <c r="AW145" s="125">
        <f t="shared" si="27"/>
        <v>-10093.009740000001</v>
      </c>
      <c r="AX145" s="125">
        <f>AI145*Valores!$C$76</f>
        <v>-13625.563149000001</v>
      </c>
      <c r="AY145" s="125">
        <f>AI145*Valores!$C$77</f>
        <v>-1513.9514610000003</v>
      </c>
      <c r="AZ145" s="125">
        <f t="shared" si="24"/>
        <v>458906.40908000007</v>
      </c>
      <c r="BA145" s="125">
        <f>AI145*Valores!$C$79</f>
        <v>80744.07792000001</v>
      </c>
      <c r="BB145" s="125">
        <f>AI145*Valores!$C$80</f>
        <v>35325.53409000001</v>
      </c>
      <c r="BC145" s="125">
        <f>AI145*Valores!$C$81</f>
        <v>5046.504870000001</v>
      </c>
      <c r="BD145" s="125">
        <f>AI145*Valores!$C$83</f>
        <v>17662.767045000004</v>
      </c>
      <c r="BE145" s="125">
        <f>AI145*Valores!$C$85</f>
        <v>27251.126298000003</v>
      </c>
      <c r="BF145" s="125">
        <f>AI145*Valores!$C$84</f>
        <v>3027.9029220000007</v>
      </c>
      <c r="BG145" s="126"/>
      <c r="BH145" s="126">
        <v>20</v>
      </c>
      <c r="BI145" s="123" t="s">
        <v>4</v>
      </c>
    </row>
    <row r="146" spans="1:61" s="110" customFormat="1" ht="11.25" customHeight="1">
      <c r="A146" s="123" t="s">
        <v>377</v>
      </c>
      <c r="B146" s="123">
        <v>1</v>
      </c>
      <c r="C146" s="126">
        <v>139</v>
      </c>
      <c r="D146" s="124" t="s">
        <v>378</v>
      </c>
      <c r="E146" s="192">
        <v>1278</v>
      </c>
      <c r="F146" s="125">
        <f>ROUND(E146*Valores!$C$2,2)</f>
        <v>105792.84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43640.66</v>
      </c>
      <c r="N146" s="125">
        <f t="shared" si="21"/>
        <v>0</v>
      </c>
      <c r="O146" s="125">
        <f>Valores!$C$16</f>
        <v>71528.26</v>
      </c>
      <c r="P146" s="125">
        <f>Valores!$D$5</f>
        <v>42317.14</v>
      </c>
      <c r="Q146" s="125">
        <f>Valores!$C$22</f>
        <v>37751.3</v>
      </c>
      <c r="R146" s="125">
        <f>IF($F$4="NO",Valores!$C$45,Valores!$C$45/2)</f>
        <v>29395.49</v>
      </c>
      <c r="S146" s="125">
        <f>Valores!$C$19</f>
        <v>39374.32</v>
      </c>
      <c r="T146" s="125">
        <f t="shared" si="28"/>
        <v>39374.32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Valores!$C$96</f>
        <v>57944.18</v>
      </c>
      <c r="AA146" s="125">
        <f>Valores!$C$25</f>
        <v>1730.69</v>
      </c>
      <c r="AB146" s="214">
        <v>0</v>
      </c>
      <c r="AC146" s="125">
        <f t="shared" si="22"/>
        <v>0</v>
      </c>
      <c r="AD146" s="125">
        <f>Valores!$C$26</f>
        <v>1730.69</v>
      </c>
      <c r="AE146" s="192">
        <v>0</v>
      </c>
      <c r="AF146" s="125">
        <f>ROUND(AE146*Valores!$C$2,2)</f>
        <v>0</v>
      </c>
      <c r="AG146" s="125">
        <f>ROUND(IF($F$4="NO",Valores!$C$64,Valores!$C$64/2),2)</f>
        <v>19786.28</v>
      </c>
      <c r="AH146" s="125">
        <f>SUM(F146,H146,J146,L146,M146,N146,O146,P146,Q146,R146,T146,U146,V146,X146,Y146,Z146,AA146,AC146,AD146,AF146,AG146)*Valores!$C$104</f>
        <v>45099.185</v>
      </c>
      <c r="AI146" s="125">
        <f t="shared" si="25"/>
        <v>496091.035</v>
      </c>
      <c r="AJ146" s="125">
        <f>Valores!$C$31</f>
        <v>35000</v>
      </c>
      <c r="AK146" s="125">
        <v>0</v>
      </c>
      <c r="AL146" s="125">
        <f>Valores!$C$89</f>
        <v>0</v>
      </c>
      <c r="AM146" s="125">
        <f>Valores!C$39*B146</f>
        <v>0</v>
      </c>
      <c r="AN146" s="125">
        <f>IF($F$3="NO",0,Valores!$C$57)</f>
        <v>0</v>
      </c>
      <c r="AO146" s="125">
        <f t="shared" si="23"/>
        <v>35000</v>
      </c>
      <c r="AP146" s="125">
        <f>AI146*Valores!$C$72</f>
        <v>-54570.013849999996</v>
      </c>
      <c r="AQ146" s="125">
        <f>IF(AI146&lt;Valores!$E$73,-0.02,IF(AI146&lt;Valores!$F$73,-0.03,-0.04))*AI146</f>
        <v>-9921.8207</v>
      </c>
      <c r="AR146" s="125">
        <f>AI146*Valores!$C$75</f>
        <v>-27285.006924999998</v>
      </c>
      <c r="AS146" s="125">
        <f>Valores!$C$102</f>
        <v>-1270.16</v>
      </c>
      <c r="AT146" s="125">
        <f>IF($F$5=0,Valores!$C$103,(Valores!$C$103+$F$5*(Valores!$C$103)))</f>
        <v>-11714</v>
      </c>
      <c r="AU146" s="125">
        <f t="shared" si="26"/>
        <v>426330.033525</v>
      </c>
      <c r="AV146" s="125">
        <f t="shared" si="20"/>
        <v>-54570.013849999996</v>
      </c>
      <c r="AW146" s="125">
        <f t="shared" si="27"/>
        <v>-9921.8207</v>
      </c>
      <c r="AX146" s="125">
        <f>AI146*Valores!$C$76</f>
        <v>-13394.457944999998</v>
      </c>
      <c r="AY146" s="125">
        <f>AI146*Valores!$C$77</f>
        <v>-1488.273105</v>
      </c>
      <c r="AZ146" s="125">
        <f t="shared" si="24"/>
        <v>451716.46939999994</v>
      </c>
      <c r="BA146" s="125">
        <f>AI146*Valores!$C$79</f>
        <v>79374.5656</v>
      </c>
      <c r="BB146" s="125">
        <f>AI146*Valores!$C$80</f>
        <v>34726.37245</v>
      </c>
      <c r="BC146" s="125">
        <f>AI146*Valores!$C$81</f>
        <v>4960.91035</v>
      </c>
      <c r="BD146" s="125">
        <f>AI146*Valores!$C$83</f>
        <v>17363.186225</v>
      </c>
      <c r="BE146" s="125">
        <f>AI146*Valores!$C$85</f>
        <v>26788.915889999997</v>
      </c>
      <c r="BF146" s="125">
        <f>AI146*Valores!$C$84</f>
        <v>2976.54621</v>
      </c>
      <c r="BG146" s="126"/>
      <c r="BH146" s="126">
        <v>22</v>
      </c>
      <c r="BI146" s="123" t="s">
        <v>4</v>
      </c>
    </row>
    <row r="147" spans="1:61" s="110" customFormat="1" ht="11.25" customHeight="1">
      <c r="A147" s="123" t="s">
        <v>379</v>
      </c>
      <c r="B147" s="123">
        <v>1</v>
      </c>
      <c r="C147" s="126">
        <v>140</v>
      </c>
      <c r="D147" s="124" t="s">
        <v>380</v>
      </c>
      <c r="E147" s="192">
        <v>1278</v>
      </c>
      <c r="F147" s="125">
        <f>ROUND(E147*Valores!$C$2,2)</f>
        <v>105792.84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43540.02</v>
      </c>
      <c r="N147" s="125">
        <f t="shared" si="21"/>
        <v>0</v>
      </c>
      <c r="O147" s="125">
        <f>Valores!$C$16</f>
        <v>71528.26</v>
      </c>
      <c r="P147" s="125">
        <f>Valores!$D$5</f>
        <v>42317.14</v>
      </c>
      <c r="Q147" s="125">
        <v>0</v>
      </c>
      <c r="R147" s="125">
        <f>IF($F$4="NO",Valores!$C$45,Valores!$C$45/2)</f>
        <v>29395.49</v>
      </c>
      <c r="S147" s="125">
        <f>Valores!$C$20</f>
        <v>38971.76</v>
      </c>
      <c r="T147" s="125">
        <f t="shared" si="28"/>
        <v>38971.76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Valores!$C$96</f>
        <v>57944.18</v>
      </c>
      <c r="AA147" s="125">
        <f>Valores!$C$25</f>
        <v>1730.69</v>
      </c>
      <c r="AB147" s="214">
        <v>0</v>
      </c>
      <c r="AC147" s="125">
        <f t="shared" si="22"/>
        <v>0</v>
      </c>
      <c r="AD147" s="125">
        <f>Valores!$C$26</f>
        <v>1730.69</v>
      </c>
      <c r="AE147" s="192">
        <v>0</v>
      </c>
      <c r="AF147" s="125">
        <f>ROUND(AE147*Valores!$C$2,2)</f>
        <v>0</v>
      </c>
      <c r="AG147" s="125">
        <f>ROUND(IF($F$4="NO",Valores!$C$64,Valores!$C$64/2),2)</f>
        <v>19786.28</v>
      </c>
      <c r="AH147" s="125">
        <f>SUM(F147,H147,J147,L147,M147,N147,O147,P147,Q147,R147,T147,U147,V147,X147,Y147,Z147,AA147,AC147,AD147,AF147,AG147)*Valores!$C$104</f>
        <v>41273.735</v>
      </c>
      <c r="AI147" s="125">
        <f t="shared" si="25"/>
        <v>454011.08499999996</v>
      </c>
      <c r="AJ147" s="125">
        <f>Valores!$C$31</f>
        <v>35000</v>
      </c>
      <c r="AK147" s="125">
        <v>0</v>
      </c>
      <c r="AL147" s="125">
        <f>Valores!$C$89</f>
        <v>0</v>
      </c>
      <c r="AM147" s="125">
        <f>Valores!C$39*B147</f>
        <v>0</v>
      </c>
      <c r="AN147" s="125">
        <f>IF($F$3="NO",0,Valores!$C$57)</f>
        <v>0</v>
      </c>
      <c r="AO147" s="125">
        <f t="shared" si="23"/>
        <v>35000</v>
      </c>
      <c r="AP147" s="125">
        <f>AI147*Valores!$C$72</f>
        <v>-49941.21935</v>
      </c>
      <c r="AQ147" s="125">
        <f>IF(AI147&lt;Valores!$E$73,-0.02,IF(AI147&lt;Valores!$F$73,-0.03,-0.04))*AI147</f>
        <v>-9080.2217</v>
      </c>
      <c r="AR147" s="125">
        <f>AI147*Valores!$C$75</f>
        <v>-24970.609675</v>
      </c>
      <c r="AS147" s="125">
        <f>Valores!$C$102</f>
        <v>-1270.16</v>
      </c>
      <c r="AT147" s="125">
        <f>IF($F$5=0,Valores!$C$103,(Valores!$C$103+$F$5*(Valores!$C$103)))</f>
        <v>-11714</v>
      </c>
      <c r="AU147" s="125">
        <f t="shared" si="26"/>
        <v>392034.87427499995</v>
      </c>
      <c r="AV147" s="125">
        <f t="shared" si="20"/>
        <v>-49941.21935</v>
      </c>
      <c r="AW147" s="125">
        <f t="shared" si="27"/>
        <v>-9080.2217</v>
      </c>
      <c r="AX147" s="125">
        <f>AI147*Valores!$C$76</f>
        <v>-12258.299294999999</v>
      </c>
      <c r="AY147" s="125">
        <f>AI147*Valores!$C$77</f>
        <v>-1362.0332549999998</v>
      </c>
      <c r="AZ147" s="125">
        <f t="shared" si="24"/>
        <v>416369.31139999995</v>
      </c>
      <c r="BA147" s="125">
        <f>AI147*Valores!$C$79</f>
        <v>72641.7736</v>
      </c>
      <c r="BB147" s="125">
        <f>AI147*Valores!$C$80</f>
        <v>31780.77595</v>
      </c>
      <c r="BC147" s="125">
        <f>AI147*Valores!$C$81</f>
        <v>4540.11085</v>
      </c>
      <c r="BD147" s="125">
        <f>AI147*Valores!$C$83</f>
        <v>15890.387975</v>
      </c>
      <c r="BE147" s="125">
        <f>AI147*Valores!$C$85</f>
        <v>24516.598589999998</v>
      </c>
      <c r="BF147" s="125">
        <f>AI147*Valores!$C$84</f>
        <v>2724.0665099999997</v>
      </c>
      <c r="BG147" s="126"/>
      <c r="BH147" s="126"/>
      <c r="BI147" s="123" t="s">
        <v>8</v>
      </c>
    </row>
    <row r="148" spans="1:61" s="110" customFormat="1" ht="11.25" customHeight="1">
      <c r="A148" s="123" t="s">
        <v>381</v>
      </c>
      <c r="B148" s="123">
        <v>1</v>
      </c>
      <c r="C148" s="126">
        <v>141</v>
      </c>
      <c r="D148" s="124" t="s">
        <v>382</v>
      </c>
      <c r="E148" s="192">
        <v>1278</v>
      </c>
      <c r="F148" s="125">
        <f>ROUND(E148*Valores!$C$2,2)</f>
        <v>105792.84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43540.02</v>
      </c>
      <c r="N148" s="125">
        <f t="shared" si="21"/>
        <v>0</v>
      </c>
      <c r="O148" s="125">
        <f>Valores!$C$16</f>
        <v>71528.26</v>
      </c>
      <c r="P148" s="125">
        <f>Valores!$D$5</f>
        <v>42317.14</v>
      </c>
      <c r="Q148" s="125">
        <v>0</v>
      </c>
      <c r="R148" s="125">
        <f>IF($F$4="NO",Valores!$C$45,Valores!$C$45/2)</f>
        <v>29395.49</v>
      </c>
      <c r="S148" s="125">
        <f>Valores!$C$20</f>
        <v>38971.76</v>
      </c>
      <c r="T148" s="125">
        <f t="shared" si="28"/>
        <v>38971.76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Valores!$C$96</f>
        <v>57944.18</v>
      </c>
      <c r="AA148" s="125">
        <f>Valores!$C$25</f>
        <v>1730.69</v>
      </c>
      <c r="AB148" s="214">
        <v>0</v>
      </c>
      <c r="AC148" s="125">
        <f t="shared" si="22"/>
        <v>0</v>
      </c>
      <c r="AD148" s="125">
        <f>Valores!$C$26</f>
        <v>1730.69</v>
      </c>
      <c r="AE148" s="192">
        <v>0</v>
      </c>
      <c r="AF148" s="125">
        <f>ROUND(AE148*Valores!$C$2,2)</f>
        <v>0</v>
      </c>
      <c r="AG148" s="125">
        <f>ROUND(IF($F$4="NO",Valores!$C$64,Valores!$C$64/2),2)</f>
        <v>19786.28</v>
      </c>
      <c r="AH148" s="125">
        <f>SUM(F148,H148,J148,L148,M148,N148,O148,P148,Q148,R148,T148,U148,V148,X148,Y148,Z148,AA148,AC148,AD148,AF148,AG148)*Valores!$C$104</f>
        <v>41273.735</v>
      </c>
      <c r="AI148" s="125">
        <f t="shared" si="25"/>
        <v>454011.08499999996</v>
      </c>
      <c r="AJ148" s="125">
        <f>Valores!$C$31</f>
        <v>35000</v>
      </c>
      <c r="AK148" s="125">
        <v>0</v>
      </c>
      <c r="AL148" s="125">
        <f>Valores!$C$89</f>
        <v>0</v>
      </c>
      <c r="AM148" s="125">
        <f>Valores!C$39*B148</f>
        <v>0</v>
      </c>
      <c r="AN148" s="125">
        <f>IF($F$3="NO",0,Valores!$C$57)</f>
        <v>0</v>
      </c>
      <c r="AO148" s="125">
        <f t="shared" si="23"/>
        <v>35000</v>
      </c>
      <c r="AP148" s="125">
        <f>AI148*Valores!$C$72</f>
        <v>-49941.21935</v>
      </c>
      <c r="AQ148" s="125">
        <f>IF(AI148&lt;Valores!$E$73,-0.02,IF(AI148&lt;Valores!$F$73,-0.03,-0.04))*AI148</f>
        <v>-9080.2217</v>
      </c>
      <c r="AR148" s="125">
        <f>AI148*Valores!$C$75</f>
        <v>-24970.609675</v>
      </c>
      <c r="AS148" s="125">
        <f>Valores!$C$102</f>
        <v>-1270.16</v>
      </c>
      <c r="AT148" s="125">
        <f>IF($F$5=0,Valores!$C$103,(Valores!$C$103+$F$5*(Valores!$C$103)))</f>
        <v>-11714</v>
      </c>
      <c r="AU148" s="125">
        <f t="shared" si="26"/>
        <v>392034.87427499995</v>
      </c>
      <c r="AV148" s="125">
        <f t="shared" si="20"/>
        <v>-49941.21935</v>
      </c>
      <c r="AW148" s="125">
        <f t="shared" si="27"/>
        <v>-9080.2217</v>
      </c>
      <c r="AX148" s="125">
        <f>AI148*Valores!$C$76</f>
        <v>-12258.299294999999</v>
      </c>
      <c r="AY148" s="125">
        <f>AI148*Valores!$C$77</f>
        <v>-1362.0332549999998</v>
      </c>
      <c r="AZ148" s="125">
        <f t="shared" si="24"/>
        <v>416369.31139999995</v>
      </c>
      <c r="BA148" s="125">
        <f>AI148*Valores!$C$79</f>
        <v>72641.7736</v>
      </c>
      <c r="BB148" s="125">
        <f>AI148*Valores!$C$80</f>
        <v>31780.77595</v>
      </c>
      <c r="BC148" s="125">
        <f>AI148*Valores!$C$81</f>
        <v>4540.11085</v>
      </c>
      <c r="BD148" s="125">
        <f>AI148*Valores!$C$83</f>
        <v>15890.387975</v>
      </c>
      <c r="BE148" s="125">
        <f>AI148*Valores!$C$85</f>
        <v>24516.598589999998</v>
      </c>
      <c r="BF148" s="125">
        <f>AI148*Valores!$C$84</f>
        <v>2724.0665099999997</v>
      </c>
      <c r="BG148" s="126"/>
      <c r="BH148" s="126"/>
      <c r="BI148" s="123" t="s">
        <v>8</v>
      </c>
    </row>
    <row r="149" spans="1:61" s="110" customFormat="1" ht="11.25" customHeight="1">
      <c r="A149" s="123" t="s">
        <v>383</v>
      </c>
      <c r="B149" s="123">
        <v>1</v>
      </c>
      <c r="C149" s="126">
        <v>142</v>
      </c>
      <c r="D149" s="124" t="s">
        <v>384</v>
      </c>
      <c r="E149" s="192">
        <v>1060</v>
      </c>
      <c r="F149" s="125">
        <f>ROUND(E149*Valores!$C$2,2)</f>
        <v>87746.8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39129.15</v>
      </c>
      <c r="N149" s="125">
        <f t="shared" si="21"/>
        <v>0</v>
      </c>
      <c r="O149" s="125">
        <f>Valores!$C$16</f>
        <v>71528.26</v>
      </c>
      <c r="P149" s="125">
        <f>Valores!$D$5</f>
        <v>42317.14</v>
      </c>
      <c r="Q149" s="125">
        <f>Valores!$C$22</f>
        <v>37751.3</v>
      </c>
      <c r="R149" s="125">
        <f>IF($F$4="NO",Valores!$C$45,Valores!$C$45/2)</f>
        <v>29395.49</v>
      </c>
      <c r="S149" s="125">
        <f>Valores!$C$19</f>
        <v>39374.32</v>
      </c>
      <c r="T149" s="125">
        <f t="shared" si="28"/>
        <v>39374.32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Valores!$C$96</f>
        <v>57944.18</v>
      </c>
      <c r="AA149" s="125">
        <f>Valores!$C$25</f>
        <v>1730.69</v>
      </c>
      <c r="AB149" s="214">
        <v>0</v>
      </c>
      <c r="AC149" s="125">
        <f t="shared" si="22"/>
        <v>0</v>
      </c>
      <c r="AD149" s="125">
        <f>Valores!$C$26</f>
        <v>1730.69</v>
      </c>
      <c r="AE149" s="192">
        <v>0</v>
      </c>
      <c r="AF149" s="125">
        <f>ROUND(AE149*Valores!$C$2,2)</f>
        <v>0</v>
      </c>
      <c r="AG149" s="125">
        <f>ROUND(IF($F$4="NO",Valores!$C$64,Valores!$C$64/2),2)</f>
        <v>19786.28</v>
      </c>
      <c r="AH149" s="125">
        <f>SUM(F149,H149,J149,L149,M149,N149,O149,P149,Q149,R149,T149,U149,V149,X149,Y149,Z149,AA149,AC149,AD149,AF149,AG149)*Valores!$C$104</f>
        <v>42843.43000000001</v>
      </c>
      <c r="AI149" s="125">
        <f t="shared" si="25"/>
        <v>471277.73000000004</v>
      </c>
      <c r="AJ149" s="125">
        <f>Valores!$C$31</f>
        <v>35000</v>
      </c>
      <c r="AK149" s="125">
        <v>0</v>
      </c>
      <c r="AL149" s="125">
        <f>Valores!$C$89</f>
        <v>0</v>
      </c>
      <c r="AM149" s="125">
        <f>Valores!C$39*B149</f>
        <v>0</v>
      </c>
      <c r="AN149" s="125">
        <f>IF($F$3="NO",0,Valores!$C$57)</f>
        <v>0</v>
      </c>
      <c r="AO149" s="125">
        <f t="shared" si="23"/>
        <v>35000</v>
      </c>
      <c r="AP149" s="125">
        <f>AI149*Valores!$C$72</f>
        <v>-51840.5503</v>
      </c>
      <c r="AQ149" s="125">
        <f>IF(AI149&lt;Valores!$E$73,-0.02,IF(AI149&lt;Valores!$F$73,-0.03,-0.04))*AI149</f>
        <v>-9425.554600000001</v>
      </c>
      <c r="AR149" s="125">
        <f>AI149*Valores!$C$75</f>
        <v>-25920.27515</v>
      </c>
      <c r="AS149" s="125">
        <f>Valores!$C$102</f>
        <v>-1270.16</v>
      </c>
      <c r="AT149" s="125">
        <f>IF($F$5=0,Valores!$C$103,(Valores!$C$103+$F$5*(Valores!$C$103)))</f>
        <v>-11714</v>
      </c>
      <c r="AU149" s="125">
        <f t="shared" si="26"/>
        <v>406107.18995</v>
      </c>
      <c r="AV149" s="125">
        <f t="shared" si="20"/>
        <v>-51840.5503</v>
      </c>
      <c r="AW149" s="125">
        <f t="shared" si="27"/>
        <v>-9425.554600000001</v>
      </c>
      <c r="AX149" s="125">
        <f>AI149*Valores!$C$76</f>
        <v>-12724.498710000002</v>
      </c>
      <c r="AY149" s="125">
        <f>AI149*Valores!$C$77</f>
        <v>-1413.83319</v>
      </c>
      <c r="AZ149" s="125">
        <f t="shared" si="24"/>
        <v>430873.2932</v>
      </c>
      <c r="BA149" s="125">
        <f>AI149*Valores!$C$79</f>
        <v>75404.43680000001</v>
      </c>
      <c r="BB149" s="125">
        <f>AI149*Valores!$C$80</f>
        <v>32989.441100000004</v>
      </c>
      <c r="BC149" s="125">
        <f>AI149*Valores!$C$81</f>
        <v>4712.777300000001</v>
      </c>
      <c r="BD149" s="125">
        <f>AI149*Valores!$C$83</f>
        <v>16494.720550000002</v>
      </c>
      <c r="BE149" s="125">
        <f>AI149*Valores!$C$85</f>
        <v>25448.997420000003</v>
      </c>
      <c r="BF149" s="125">
        <f>AI149*Valores!$C$84</f>
        <v>2827.66638</v>
      </c>
      <c r="BG149" s="126"/>
      <c r="BH149" s="126"/>
      <c r="BI149" s="123" t="s">
        <v>4</v>
      </c>
    </row>
    <row r="150" spans="1:61" s="110" customFormat="1" ht="11.25" customHeight="1">
      <c r="A150" s="123" t="s">
        <v>385</v>
      </c>
      <c r="B150" s="123">
        <v>1</v>
      </c>
      <c r="C150" s="126">
        <v>143</v>
      </c>
      <c r="D150" s="124" t="s">
        <v>386</v>
      </c>
      <c r="E150" s="192">
        <v>1278</v>
      </c>
      <c r="F150" s="125">
        <f>ROUND(E150*Valores!$C$2,2)</f>
        <v>105792.84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43540.02</v>
      </c>
      <c r="N150" s="125">
        <f t="shared" si="21"/>
        <v>0</v>
      </c>
      <c r="O150" s="125">
        <f>Valores!$C$16</f>
        <v>71528.26</v>
      </c>
      <c r="P150" s="125">
        <f>Valores!$D$5</f>
        <v>42317.14</v>
      </c>
      <c r="Q150" s="125">
        <f>Valores!$C$22</f>
        <v>37751.3</v>
      </c>
      <c r="R150" s="125">
        <f>IF($F$4="NO",Valores!$C$45,Valores!$C$45/2)</f>
        <v>29395.49</v>
      </c>
      <c r="S150" s="125">
        <f>Valores!$C$20</f>
        <v>38971.76</v>
      </c>
      <c r="T150" s="125">
        <f t="shared" si="28"/>
        <v>38971.76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Valores!$C$96</f>
        <v>57944.18</v>
      </c>
      <c r="AA150" s="125">
        <f>Valores!$C$25</f>
        <v>1730.69</v>
      </c>
      <c r="AB150" s="214">
        <v>0</v>
      </c>
      <c r="AC150" s="125">
        <f t="shared" si="22"/>
        <v>0</v>
      </c>
      <c r="AD150" s="125">
        <f>Valores!$C$26</f>
        <v>1730.69</v>
      </c>
      <c r="AE150" s="192">
        <v>0</v>
      </c>
      <c r="AF150" s="125">
        <f>ROUND(AE150*Valores!$C$2,2)</f>
        <v>0</v>
      </c>
      <c r="AG150" s="125">
        <f>ROUND(IF($F$4="NO",Valores!$C$64,Valores!$C$64/2),2)</f>
        <v>19786.28</v>
      </c>
      <c r="AH150" s="125">
        <f>SUM(F150,H150,J150,L150,M150,N150,O150,P150,Q150,R150,T150,U150,V150,X150,Y150,Z150,AA150,AC150,AD150,AF150,AG150)*Valores!$C$104</f>
        <v>45048.865000000005</v>
      </c>
      <c r="AI150" s="125">
        <f t="shared" si="25"/>
        <v>495537.515</v>
      </c>
      <c r="AJ150" s="125">
        <f>Valores!$C$31</f>
        <v>35000</v>
      </c>
      <c r="AK150" s="125">
        <v>0</v>
      </c>
      <c r="AL150" s="125">
        <f>Valores!$C$89</f>
        <v>0</v>
      </c>
      <c r="AM150" s="125">
        <f>Valores!C$39*B150</f>
        <v>0</v>
      </c>
      <c r="AN150" s="125">
        <f>IF($F$3="NO",0,Valores!$C$57)</f>
        <v>0</v>
      </c>
      <c r="AO150" s="125">
        <f t="shared" si="23"/>
        <v>35000</v>
      </c>
      <c r="AP150" s="125">
        <f>AI150*Valores!$C$72</f>
        <v>-54509.12665</v>
      </c>
      <c r="AQ150" s="125">
        <f>IF(AI150&lt;Valores!$E$73,-0.02,IF(AI150&lt;Valores!$F$73,-0.03,-0.04))*AI150</f>
        <v>-9910.7503</v>
      </c>
      <c r="AR150" s="125">
        <f>AI150*Valores!$C$75</f>
        <v>-27254.563325</v>
      </c>
      <c r="AS150" s="125">
        <f>Valores!$C$102</f>
        <v>-1270.16</v>
      </c>
      <c r="AT150" s="125">
        <f>IF($F$5=0,Valores!$C$103,(Valores!$C$103+$F$5*(Valores!$C$103)))</f>
        <v>-11714</v>
      </c>
      <c r="AU150" s="125">
        <f t="shared" si="26"/>
        <v>425878.91472500004</v>
      </c>
      <c r="AV150" s="125">
        <f t="shared" si="20"/>
        <v>-54509.12665</v>
      </c>
      <c r="AW150" s="125">
        <f t="shared" si="27"/>
        <v>-9910.7503</v>
      </c>
      <c r="AX150" s="125">
        <f>AI150*Valores!$C$76</f>
        <v>-13379.512905</v>
      </c>
      <c r="AY150" s="125">
        <f>AI150*Valores!$C$77</f>
        <v>-1486.6125450000002</v>
      </c>
      <c r="AZ150" s="125">
        <f t="shared" si="24"/>
        <v>451251.5126</v>
      </c>
      <c r="BA150" s="125">
        <f>AI150*Valores!$C$79</f>
        <v>79286.0024</v>
      </c>
      <c r="BB150" s="125">
        <f>AI150*Valores!$C$80</f>
        <v>34687.626050000006</v>
      </c>
      <c r="BC150" s="125">
        <f>AI150*Valores!$C$81</f>
        <v>4955.37515</v>
      </c>
      <c r="BD150" s="125">
        <f>AI150*Valores!$C$83</f>
        <v>17343.813025000003</v>
      </c>
      <c r="BE150" s="125">
        <f>AI150*Valores!$C$85</f>
        <v>26759.02581</v>
      </c>
      <c r="BF150" s="125">
        <f>AI150*Valores!$C$84</f>
        <v>2973.2250900000004</v>
      </c>
      <c r="BG150" s="126"/>
      <c r="BH150" s="126">
        <v>22</v>
      </c>
      <c r="BI150" s="123" t="s">
        <v>4</v>
      </c>
    </row>
    <row r="151" spans="1:61" s="110" customFormat="1" ht="11.25" customHeight="1">
      <c r="A151" s="123" t="s">
        <v>387</v>
      </c>
      <c r="B151" s="123">
        <v>1</v>
      </c>
      <c r="C151" s="126">
        <v>144</v>
      </c>
      <c r="D151" s="124" t="s">
        <v>388</v>
      </c>
      <c r="E151" s="192">
        <v>1278</v>
      </c>
      <c r="F151" s="125">
        <f>ROUND(E151*Valores!$C$2,2)</f>
        <v>105792.84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43640.66</v>
      </c>
      <c r="N151" s="125">
        <f t="shared" si="21"/>
        <v>0</v>
      </c>
      <c r="O151" s="125">
        <f>Valores!$C$16</f>
        <v>71528.26</v>
      </c>
      <c r="P151" s="125">
        <f>Valores!$D$5</f>
        <v>42317.14</v>
      </c>
      <c r="Q151" s="125">
        <f>Valores!$C$22</f>
        <v>37751.3</v>
      </c>
      <c r="R151" s="125">
        <f>IF($F$4="NO",Valores!$C$45,Valores!$C$45/2)</f>
        <v>29395.49</v>
      </c>
      <c r="S151" s="125">
        <f>Valores!$C$19</f>
        <v>39374.32</v>
      </c>
      <c r="T151" s="125">
        <f t="shared" si="28"/>
        <v>39374.32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Valores!$C$96</f>
        <v>57944.18</v>
      </c>
      <c r="AA151" s="125">
        <f>Valores!$C$25</f>
        <v>1730.69</v>
      </c>
      <c r="AB151" s="214">
        <v>0</v>
      </c>
      <c r="AC151" s="125">
        <f t="shared" si="22"/>
        <v>0</v>
      </c>
      <c r="AD151" s="125">
        <f>Valores!$C$26</f>
        <v>1730.69</v>
      </c>
      <c r="AE151" s="192">
        <v>0</v>
      </c>
      <c r="AF151" s="125">
        <f>ROUND(AE151*Valores!$C$2,2)</f>
        <v>0</v>
      </c>
      <c r="AG151" s="125">
        <f>ROUND(IF($F$4="NO",Valores!$C$64,Valores!$C$64/2),2)</f>
        <v>19786.28</v>
      </c>
      <c r="AH151" s="125">
        <f>SUM(F151,H151,J151,L151,M151,N151,O151,P151,Q151,R151,T151,U151,V151,X151,Y151,Z151,AA151,AC151,AD151,AF151,AG151)*Valores!$C$104</f>
        <v>45099.185</v>
      </c>
      <c r="AI151" s="125">
        <f t="shared" si="25"/>
        <v>496091.035</v>
      </c>
      <c r="AJ151" s="125">
        <f>Valores!$C$31</f>
        <v>35000</v>
      </c>
      <c r="AK151" s="125">
        <v>0</v>
      </c>
      <c r="AL151" s="125">
        <f>Valores!$C$89</f>
        <v>0</v>
      </c>
      <c r="AM151" s="125">
        <f>Valores!C$39*B151</f>
        <v>0</v>
      </c>
      <c r="AN151" s="125">
        <f>IF($F$3="NO",0,Valores!$C$57)</f>
        <v>0</v>
      </c>
      <c r="AO151" s="125">
        <f t="shared" si="23"/>
        <v>35000</v>
      </c>
      <c r="AP151" s="125">
        <f>AI151*Valores!$C$72</f>
        <v>-54570.013849999996</v>
      </c>
      <c r="AQ151" s="125">
        <f>IF(AI151&lt;Valores!$E$73,-0.02,IF(AI151&lt;Valores!$F$73,-0.03,-0.04))*AI151</f>
        <v>-9921.8207</v>
      </c>
      <c r="AR151" s="125">
        <f>AI151*Valores!$C$75</f>
        <v>-27285.006924999998</v>
      </c>
      <c r="AS151" s="125">
        <f>Valores!$C$102</f>
        <v>-1270.16</v>
      </c>
      <c r="AT151" s="125">
        <f>IF($F$5=0,Valores!$C$103,(Valores!$C$103+$F$5*(Valores!$C$103)))</f>
        <v>-11714</v>
      </c>
      <c r="AU151" s="125">
        <f t="shared" si="26"/>
        <v>426330.033525</v>
      </c>
      <c r="AV151" s="125">
        <f t="shared" si="20"/>
        <v>-54570.013849999996</v>
      </c>
      <c r="AW151" s="125">
        <f t="shared" si="27"/>
        <v>-9921.8207</v>
      </c>
      <c r="AX151" s="125">
        <f>AI151*Valores!$C$76</f>
        <v>-13394.457944999998</v>
      </c>
      <c r="AY151" s="125">
        <f>AI151*Valores!$C$77</f>
        <v>-1488.273105</v>
      </c>
      <c r="AZ151" s="125">
        <f t="shared" si="24"/>
        <v>451716.46939999994</v>
      </c>
      <c r="BA151" s="125">
        <f>AI151*Valores!$C$79</f>
        <v>79374.5656</v>
      </c>
      <c r="BB151" s="125">
        <f>AI151*Valores!$C$80</f>
        <v>34726.37245</v>
      </c>
      <c r="BC151" s="125">
        <f>AI151*Valores!$C$81</f>
        <v>4960.91035</v>
      </c>
      <c r="BD151" s="125">
        <f>AI151*Valores!$C$83</f>
        <v>17363.186225</v>
      </c>
      <c r="BE151" s="125">
        <f>AI151*Valores!$C$85</f>
        <v>26788.915889999997</v>
      </c>
      <c r="BF151" s="125">
        <f>AI151*Valores!$C$84</f>
        <v>2976.54621</v>
      </c>
      <c r="BG151" s="126"/>
      <c r="BH151" s="126">
        <v>25</v>
      </c>
      <c r="BI151" s="123" t="s">
        <v>4</v>
      </c>
    </row>
    <row r="152" spans="1:61" s="110" customFormat="1" ht="11.25" customHeight="1">
      <c r="A152" s="123" t="s">
        <v>389</v>
      </c>
      <c r="B152" s="123">
        <v>1</v>
      </c>
      <c r="C152" s="126">
        <v>145</v>
      </c>
      <c r="D152" s="124" t="s">
        <v>390</v>
      </c>
      <c r="E152" s="192">
        <v>1065</v>
      </c>
      <c r="F152" s="125">
        <f>ROUND(E152*Valores!$C$2,2)</f>
        <v>88160.7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38818.57</v>
      </c>
      <c r="N152" s="125">
        <f t="shared" si="21"/>
        <v>0</v>
      </c>
      <c r="O152" s="125">
        <f>Valores!$C$16</f>
        <v>71528.26</v>
      </c>
      <c r="P152" s="125">
        <f>Valores!$D$5</f>
        <v>42317.14</v>
      </c>
      <c r="Q152" s="125">
        <f>Valores!$C$23</f>
        <v>35136.41</v>
      </c>
      <c r="R152" s="125">
        <f>IF($F$4="NO",Valores!$C$44,Valores!$C$44/2)</f>
        <v>27739.24</v>
      </c>
      <c r="S152" s="125">
        <f>Valores!$C$19</f>
        <v>39374.32</v>
      </c>
      <c r="T152" s="125">
        <f t="shared" si="28"/>
        <v>39374.32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Valores!$C$96</f>
        <v>57944.18</v>
      </c>
      <c r="AA152" s="125">
        <f>Valores!$C$25</f>
        <v>1730.69</v>
      </c>
      <c r="AB152" s="214">
        <v>0</v>
      </c>
      <c r="AC152" s="125">
        <f t="shared" si="22"/>
        <v>0</v>
      </c>
      <c r="AD152" s="125">
        <f>Valores!$C$26</f>
        <v>1730.69</v>
      </c>
      <c r="AE152" s="192">
        <v>0</v>
      </c>
      <c r="AF152" s="125">
        <f>ROUND(AE152*Valores!$C$2,2)</f>
        <v>0</v>
      </c>
      <c r="AG152" s="125">
        <f>ROUND(IF($F$4="NO",Valores!$C$64,Valores!$C$64/2),2)</f>
        <v>19786.28</v>
      </c>
      <c r="AH152" s="125">
        <f>SUM(F152,H152,J152,L152,M152,N152,O152,P152,Q152,R152,T152,U152,V152,X152,Y152,Z152,AA152,AC152,AD152,AF152,AG152)*Valores!$C$104</f>
        <v>42426.648</v>
      </c>
      <c r="AI152" s="125">
        <f t="shared" si="25"/>
        <v>466693.12799999997</v>
      </c>
      <c r="AJ152" s="125">
        <f>Valores!$C$31</f>
        <v>35000</v>
      </c>
      <c r="AK152" s="125">
        <v>0</v>
      </c>
      <c r="AL152" s="125">
        <f>Valores!$C$89</f>
        <v>0</v>
      </c>
      <c r="AM152" s="125">
        <f>Valores!C$39*B152</f>
        <v>0</v>
      </c>
      <c r="AN152" s="125">
        <f>IF($F$3="NO",0,Valores!$C$57)</f>
        <v>0</v>
      </c>
      <c r="AO152" s="125">
        <f t="shared" si="23"/>
        <v>35000</v>
      </c>
      <c r="AP152" s="125">
        <f>AI152*Valores!$C$72</f>
        <v>-51336.24408</v>
      </c>
      <c r="AQ152" s="125">
        <f>IF(AI152&lt;Valores!$E$73,-0.02,IF(AI152&lt;Valores!$F$73,-0.03,-0.04))*AI152</f>
        <v>-9333.86256</v>
      </c>
      <c r="AR152" s="125">
        <f>AI152*Valores!$C$75</f>
        <v>-25668.12204</v>
      </c>
      <c r="AS152" s="125">
        <f>Valores!$C$102</f>
        <v>-1270.16</v>
      </c>
      <c r="AT152" s="125">
        <f>IF($F$5=0,Valores!$C$103,(Valores!$C$103+$F$5*(Valores!$C$103)))</f>
        <v>-11714</v>
      </c>
      <c r="AU152" s="125">
        <f t="shared" si="26"/>
        <v>402370.73931999994</v>
      </c>
      <c r="AV152" s="125">
        <f t="shared" si="20"/>
        <v>-51336.24408</v>
      </c>
      <c r="AW152" s="125">
        <f t="shared" si="27"/>
        <v>-9333.86256</v>
      </c>
      <c r="AX152" s="125">
        <f>AI152*Valores!$C$76</f>
        <v>-12600.714456</v>
      </c>
      <c r="AY152" s="125">
        <f>AI152*Valores!$C$77</f>
        <v>-1400.079384</v>
      </c>
      <c r="AZ152" s="125">
        <f t="shared" si="24"/>
        <v>427022.22751999996</v>
      </c>
      <c r="BA152" s="125">
        <f>AI152*Valores!$C$79</f>
        <v>74670.90048</v>
      </c>
      <c r="BB152" s="125">
        <f>AI152*Valores!$C$80</f>
        <v>32668.51896</v>
      </c>
      <c r="BC152" s="125">
        <f>AI152*Valores!$C$81</f>
        <v>4666.93128</v>
      </c>
      <c r="BD152" s="125">
        <f>AI152*Valores!$C$83</f>
        <v>16334.25948</v>
      </c>
      <c r="BE152" s="125">
        <f>AI152*Valores!$C$85</f>
        <v>25201.428912</v>
      </c>
      <c r="BF152" s="125">
        <f>AI152*Valores!$C$84</f>
        <v>2800.158768</v>
      </c>
      <c r="BG152" s="126"/>
      <c r="BH152" s="126">
        <v>25</v>
      </c>
      <c r="BI152" s="123" t="s">
        <v>4</v>
      </c>
    </row>
    <row r="153" spans="1:61" s="110" customFormat="1" ht="11.25" customHeight="1">
      <c r="A153" s="123" t="s">
        <v>391</v>
      </c>
      <c r="B153" s="123">
        <v>1</v>
      </c>
      <c r="C153" s="126">
        <v>146</v>
      </c>
      <c r="D153" s="124" t="s">
        <v>392</v>
      </c>
      <c r="E153" s="192">
        <v>947</v>
      </c>
      <c r="F153" s="125">
        <f>ROUND(E153*Valores!$C$2,2)</f>
        <v>78392.66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36376.56</v>
      </c>
      <c r="N153" s="125">
        <f t="shared" si="21"/>
        <v>0</v>
      </c>
      <c r="O153" s="125">
        <f>Valores!$C$16</f>
        <v>71528.26</v>
      </c>
      <c r="P153" s="125">
        <f>Valores!$D$5</f>
        <v>42317.14</v>
      </c>
      <c r="Q153" s="125">
        <f>Valores!$C$23</f>
        <v>35136.41</v>
      </c>
      <c r="R153" s="125">
        <f>IF($F$4="NO",Valores!$C$44,Valores!$C$44/2)</f>
        <v>27739.24</v>
      </c>
      <c r="S153" s="125">
        <f>Valores!$C$19</f>
        <v>39374.32</v>
      </c>
      <c r="T153" s="125">
        <f t="shared" si="28"/>
        <v>39374.32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Valores!$C$96</f>
        <v>57944.18</v>
      </c>
      <c r="AA153" s="125">
        <f>Valores!$C$25</f>
        <v>1730.69</v>
      </c>
      <c r="AB153" s="214">
        <v>0</v>
      </c>
      <c r="AC153" s="125">
        <f t="shared" si="22"/>
        <v>0</v>
      </c>
      <c r="AD153" s="125">
        <f>Valores!$C$26</f>
        <v>1730.69</v>
      </c>
      <c r="AE153" s="192">
        <v>0</v>
      </c>
      <c r="AF153" s="125">
        <f>ROUND(AE153*Valores!$C$2,2)</f>
        <v>0</v>
      </c>
      <c r="AG153" s="125">
        <f>ROUND(IF($F$4="NO",Valores!$C$64,Valores!$C$64/2),2)</f>
        <v>19786.28</v>
      </c>
      <c r="AH153" s="125">
        <f>SUM(F153,H153,J153,L153,M153,N153,O153,P153,Q153,R153,T153,U153,V153,X153,Y153,Z153,AA153,AC153,AD153,AF153,AG153)*Valores!$C$104</f>
        <v>41205.64300000001</v>
      </c>
      <c r="AI153" s="125">
        <f t="shared" si="25"/>
        <v>453262.0730000001</v>
      </c>
      <c r="AJ153" s="125">
        <f>Valores!$C$31</f>
        <v>35000</v>
      </c>
      <c r="AK153" s="125">
        <v>0</v>
      </c>
      <c r="AL153" s="125">
        <f>Valores!$C$89</f>
        <v>0</v>
      </c>
      <c r="AM153" s="125">
        <f>Valores!C$39*B153</f>
        <v>0</v>
      </c>
      <c r="AN153" s="125">
        <f>IF($F$3="NO",0,Valores!$C$57)</f>
        <v>0</v>
      </c>
      <c r="AO153" s="125">
        <f t="shared" si="23"/>
        <v>35000</v>
      </c>
      <c r="AP153" s="125">
        <f>AI153*Valores!$C$72</f>
        <v>-49858.82803000001</v>
      </c>
      <c r="AQ153" s="125">
        <f>IF(AI153&lt;Valores!$E$73,-0.02,IF(AI153&lt;Valores!$F$73,-0.03,-0.04))*AI153</f>
        <v>-9065.241460000003</v>
      </c>
      <c r="AR153" s="125">
        <f>AI153*Valores!$C$75</f>
        <v>-24929.414015000006</v>
      </c>
      <c r="AS153" s="125">
        <f>Valores!$C$102</f>
        <v>-1270.16</v>
      </c>
      <c r="AT153" s="125">
        <f>IF($F$5=0,Valores!$C$103,(Valores!$C$103+$F$5*(Valores!$C$103)))</f>
        <v>-11714</v>
      </c>
      <c r="AU153" s="125">
        <f t="shared" si="26"/>
        <v>391424.42949500005</v>
      </c>
      <c r="AV153" s="125">
        <f t="shared" si="20"/>
        <v>-49858.82803000001</v>
      </c>
      <c r="AW153" s="125">
        <f t="shared" si="27"/>
        <v>-9065.241460000003</v>
      </c>
      <c r="AX153" s="125">
        <f>AI153*Valores!$C$76</f>
        <v>-12238.075971000002</v>
      </c>
      <c r="AY153" s="125">
        <f>AI153*Valores!$C$77</f>
        <v>-1359.7862190000003</v>
      </c>
      <c r="AZ153" s="125">
        <f t="shared" si="24"/>
        <v>415740.14132000005</v>
      </c>
      <c r="BA153" s="125">
        <f>AI153*Valores!$C$79</f>
        <v>72521.93168000002</v>
      </c>
      <c r="BB153" s="125">
        <f>AI153*Valores!$C$80</f>
        <v>31728.34511000001</v>
      </c>
      <c r="BC153" s="125">
        <f>AI153*Valores!$C$81</f>
        <v>4532.6207300000015</v>
      </c>
      <c r="BD153" s="125">
        <f>AI153*Valores!$C$83</f>
        <v>15864.172555000005</v>
      </c>
      <c r="BE153" s="125">
        <f>AI153*Valores!$C$85</f>
        <v>24476.151942000004</v>
      </c>
      <c r="BF153" s="125">
        <f>AI153*Valores!$C$84</f>
        <v>2719.5724380000006</v>
      </c>
      <c r="BG153" s="126"/>
      <c r="BH153" s="126">
        <v>22</v>
      </c>
      <c r="BI153" s="123" t="s">
        <v>4</v>
      </c>
    </row>
    <row r="154" spans="1:61" s="110" customFormat="1" ht="11.25" customHeight="1">
      <c r="A154" s="123" t="s">
        <v>393</v>
      </c>
      <c r="B154" s="123">
        <v>1</v>
      </c>
      <c r="C154" s="126">
        <v>147</v>
      </c>
      <c r="D154" s="124" t="s">
        <v>394</v>
      </c>
      <c r="E154" s="192">
        <v>1800</v>
      </c>
      <c r="F154" s="125">
        <f>ROUND(E154*Valores!$C$2,2)</f>
        <v>149004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58153.52</v>
      </c>
      <c r="N154" s="125">
        <f t="shared" si="21"/>
        <v>0</v>
      </c>
      <c r="O154" s="125">
        <f>Valores!$C$8</f>
        <v>103748.61</v>
      </c>
      <c r="P154" s="125">
        <f>Valores!$D$5</f>
        <v>42317.14</v>
      </c>
      <c r="Q154" s="125">
        <f>Valores!$C$22</f>
        <v>37751.3</v>
      </c>
      <c r="R154" s="125">
        <f>IF($F$4="NO",Valores!$C$48,Valores!$C$48/2)</f>
        <v>44235.76</v>
      </c>
      <c r="S154" s="125">
        <f>Valores!$C$19</f>
        <v>39374.32</v>
      </c>
      <c r="T154" s="125">
        <f t="shared" si="28"/>
        <v>39374.32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Valores!$C$98</f>
        <v>115888.34</v>
      </c>
      <c r="AA154" s="125">
        <f>Valores!$C$25</f>
        <v>1730.69</v>
      </c>
      <c r="AB154" s="214">
        <v>0</v>
      </c>
      <c r="AC154" s="125">
        <f t="shared" si="22"/>
        <v>0</v>
      </c>
      <c r="AD154" s="125">
        <f>Valores!$C$26</f>
        <v>1730.69</v>
      </c>
      <c r="AE154" s="192">
        <v>0</v>
      </c>
      <c r="AF154" s="125">
        <f>ROUND(AE154*Valores!$C$2,2)</f>
        <v>0</v>
      </c>
      <c r="AG154" s="125">
        <f>ROUND(IF($F$4="NO",Valores!$C$64,Valores!$C$64/2),2)</f>
        <v>19786.28</v>
      </c>
      <c r="AH154" s="125">
        <f>SUM(F154,H154,J154,L154,M154,N154,O154,P154,Q154,R154,T154,U154,V154,X154,Y154,Z154,AA154,AC154,AD154,AF154,AG154)*Valores!$C$104</f>
        <v>61372.064999999995</v>
      </c>
      <c r="AI154" s="125">
        <f t="shared" si="25"/>
        <v>675092.7149999999</v>
      </c>
      <c r="AJ154" s="125">
        <f>Valores!$C$32</f>
        <v>70000</v>
      </c>
      <c r="AK154" s="125">
        <v>0</v>
      </c>
      <c r="AL154" s="125">
        <f>Valores!$C$91</f>
        <v>0</v>
      </c>
      <c r="AM154" s="125">
        <f>Valores!C$39*B154</f>
        <v>0</v>
      </c>
      <c r="AN154" s="125">
        <f>IF($F$3="NO",0,Valores!$C$57)</f>
        <v>0</v>
      </c>
      <c r="AO154" s="125">
        <f t="shared" si="23"/>
        <v>70000</v>
      </c>
      <c r="AP154" s="125">
        <f>AI154*Valores!$C$72</f>
        <v>-74260.19864999999</v>
      </c>
      <c r="AQ154" s="125">
        <f>IF(AI154&lt;Valores!$E$73,-0.02,IF(AI154&lt;Valores!$F$73,-0.03,-0.04))*AI154</f>
        <v>-13501.854299999997</v>
      </c>
      <c r="AR154" s="125">
        <f>AI154*Valores!$C$75</f>
        <v>-37130.099324999996</v>
      </c>
      <c r="AS154" s="125">
        <f>Valores!$C$102</f>
        <v>-1270.16</v>
      </c>
      <c r="AT154" s="125">
        <f>IF($F$5=0,Valores!$C$103,(Valores!$C$103+$F$5*(Valores!$C$103)))</f>
        <v>-11714</v>
      </c>
      <c r="AU154" s="125">
        <f t="shared" si="26"/>
        <v>607216.4027249998</v>
      </c>
      <c r="AV154" s="125">
        <f t="shared" si="20"/>
        <v>-74260.19864999999</v>
      </c>
      <c r="AW154" s="125">
        <f t="shared" si="27"/>
        <v>-13501.854299999997</v>
      </c>
      <c r="AX154" s="125">
        <f>AI154*Valores!$C$76</f>
        <v>-18227.503304999995</v>
      </c>
      <c r="AY154" s="125">
        <f>AI154*Valores!$C$77</f>
        <v>-2025.2781449999995</v>
      </c>
      <c r="AZ154" s="125">
        <f t="shared" si="24"/>
        <v>637077.8805999999</v>
      </c>
      <c r="BA154" s="125">
        <f>AI154*Valores!$C$79</f>
        <v>108014.83439999998</v>
      </c>
      <c r="BB154" s="125">
        <f>AI154*Valores!$C$80</f>
        <v>47256.49004999999</v>
      </c>
      <c r="BC154" s="125">
        <f>AI154*Valores!$C$81</f>
        <v>6750.927149999999</v>
      </c>
      <c r="BD154" s="125">
        <f>AI154*Valores!$C$83</f>
        <v>23628.245024999997</v>
      </c>
      <c r="BE154" s="125">
        <f>AI154*Valores!$C$85</f>
        <v>36455.00660999999</v>
      </c>
      <c r="BF154" s="125">
        <f>AI154*Valores!$C$84</f>
        <v>4050.556289999999</v>
      </c>
      <c r="BG154" s="126"/>
      <c r="BH154" s="126"/>
      <c r="BI154" s="123" t="s">
        <v>4</v>
      </c>
    </row>
    <row r="155" spans="1:61" s="110" customFormat="1" ht="11.25" customHeight="1">
      <c r="A155" s="123" t="s">
        <v>395</v>
      </c>
      <c r="B155" s="123">
        <v>1</v>
      </c>
      <c r="C155" s="126">
        <v>148</v>
      </c>
      <c r="D155" s="124" t="s">
        <v>396</v>
      </c>
      <c r="E155" s="192">
        <v>1278</v>
      </c>
      <c r="F155" s="125">
        <f>ROUND(E155*Valores!$C$2,2)</f>
        <v>105792.84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43640.66</v>
      </c>
      <c r="N155" s="125">
        <f t="shared" si="21"/>
        <v>0</v>
      </c>
      <c r="O155" s="125">
        <f>Valores!$C$8</f>
        <v>103748.61</v>
      </c>
      <c r="P155" s="125">
        <f>Valores!$D$5</f>
        <v>42317.14</v>
      </c>
      <c r="Q155" s="125">
        <f>Valores!$C$22</f>
        <v>37751.3</v>
      </c>
      <c r="R155" s="125">
        <f>IF($F$4="NO",Valores!$C$45,Valores!$C$45/2)</f>
        <v>29395.49</v>
      </c>
      <c r="S155" s="125">
        <f>Valores!$C$19</f>
        <v>39374.32</v>
      </c>
      <c r="T155" s="125">
        <f t="shared" si="28"/>
        <v>39374.32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Valores!$C$96</f>
        <v>57944.18</v>
      </c>
      <c r="AA155" s="125">
        <f>Valores!$C$25</f>
        <v>1730.69</v>
      </c>
      <c r="AB155" s="214">
        <v>0</v>
      </c>
      <c r="AC155" s="125">
        <f t="shared" si="22"/>
        <v>0</v>
      </c>
      <c r="AD155" s="125">
        <f>Valores!$C$26</f>
        <v>1730.69</v>
      </c>
      <c r="AE155" s="192">
        <v>0</v>
      </c>
      <c r="AF155" s="125">
        <f>ROUND(AE155*Valores!$C$2,2)</f>
        <v>0</v>
      </c>
      <c r="AG155" s="125">
        <f>ROUND(IF($F$4="NO",Valores!$C$64,Valores!$C$64/2),2)</f>
        <v>19786.28</v>
      </c>
      <c r="AH155" s="125">
        <f>SUM(F155,H155,J155,L155,M155,N155,O155,P155,Q155,R155,T155,U155,V155,X155,Y155,Z155,AA155,AC155,AD155,AF155,AG155)*Valores!$C$104</f>
        <v>48321.22</v>
      </c>
      <c r="AI155" s="125">
        <f t="shared" si="25"/>
        <v>531533.4199999999</v>
      </c>
      <c r="AJ155" s="125">
        <f>Valores!$C$31</f>
        <v>35000</v>
      </c>
      <c r="AK155" s="125">
        <v>0</v>
      </c>
      <c r="AL155" s="125">
        <f>Valores!$C$89</f>
        <v>0</v>
      </c>
      <c r="AM155" s="125">
        <f>Valores!C$39*B155</f>
        <v>0</v>
      </c>
      <c r="AN155" s="125">
        <f>IF($F$3="NO",0,Valores!$C$57)</f>
        <v>0</v>
      </c>
      <c r="AO155" s="125">
        <f t="shared" si="23"/>
        <v>35000</v>
      </c>
      <c r="AP155" s="125">
        <f>AI155*Valores!$C$72</f>
        <v>-58468.676199999994</v>
      </c>
      <c r="AQ155" s="125">
        <f>IF(AI155&lt;Valores!$E$73,-0.02,IF(AI155&lt;Valores!$F$73,-0.03,-0.04))*AI155</f>
        <v>-10630.668399999999</v>
      </c>
      <c r="AR155" s="125">
        <f>AI155*Valores!$C$75</f>
        <v>-29234.338099999997</v>
      </c>
      <c r="AS155" s="125">
        <f>Valores!$C$102</f>
        <v>-1270.16</v>
      </c>
      <c r="AT155" s="125">
        <f>IF($F$5=0,Valores!$C$103,(Valores!$C$103+$F$5*(Valores!$C$103)))</f>
        <v>-11714</v>
      </c>
      <c r="AU155" s="125">
        <f t="shared" si="26"/>
        <v>455215.57729999995</v>
      </c>
      <c r="AV155" s="125">
        <f t="shared" si="20"/>
        <v>-58468.676199999994</v>
      </c>
      <c r="AW155" s="125">
        <f t="shared" si="27"/>
        <v>-10630.668399999999</v>
      </c>
      <c r="AX155" s="125">
        <f>AI155*Valores!$C$76</f>
        <v>-14351.402339999999</v>
      </c>
      <c r="AY155" s="125">
        <f>AI155*Valores!$C$77</f>
        <v>-1594.6002599999997</v>
      </c>
      <c r="AZ155" s="125">
        <f t="shared" si="24"/>
        <v>481488.0727999999</v>
      </c>
      <c r="BA155" s="125">
        <f>AI155*Valores!$C$79</f>
        <v>85045.34719999999</v>
      </c>
      <c r="BB155" s="125">
        <f>AI155*Valores!$C$80</f>
        <v>37207.3394</v>
      </c>
      <c r="BC155" s="125">
        <f>AI155*Valores!$C$81</f>
        <v>5315.334199999999</v>
      </c>
      <c r="BD155" s="125">
        <f>AI155*Valores!$C$83</f>
        <v>18603.6697</v>
      </c>
      <c r="BE155" s="125">
        <f>AI155*Valores!$C$85</f>
        <v>28702.804679999997</v>
      </c>
      <c r="BF155" s="125">
        <f>AI155*Valores!$C$84</f>
        <v>3189.2005199999994</v>
      </c>
      <c r="BG155" s="126"/>
      <c r="BH155" s="126">
        <v>27</v>
      </c>
      <c r="BI155" s="123" t="s">
        <v>4</v>
      </c>
    </row>
    <row r="156" spans="1:61" s="110" customFormat="1" ht="11.25" customHeight="1">
      <c r="A156" s="123" t="s">
        <v>397</v>
      </c>
      <c r="B156" s="123">
        <v>1</v>
      </c>
      <c r="C156" s="126">
        <v>149</v>
      </c>
      <c r="D156" s="124" t="s">
        <v>398</v>
      </c>
      <c r="E156" s="192">
        <v>1214</v>
      </c>
      <c r="F156" s="125">
        <f>ROUND(E156*Valores!$C$2,2)</f>
        <v>100494.92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42316.18</v>
      </c>
      <c r="N156" s="125">
        <f t="shared" si="21"/>
        <v>0</v>
      </c>
      <c r="O156" s="125">
        <f>Valores!$C$16</f>
        <v>71528.26</v>
      </c>
      <c r="P156" s="125">
        <f>Valores!$D$5</f>
        <v>42317.14</v>
      </c>
      <c r="Q156" s="125">
        <f>Valores!$C$22</f>
        <v>37751.3</v>
      </c>
      <c r="R156" s="125">
        <f>IF($F$4="NO",Valores!$C$45,Valores!$C$45/2)</f>
        <v>29395.49</v>
      </c>
      <c r="S156" s="125">
        <f>Valores!$C$19</f>
        <v>39374.32</v>
      </c>
      <c r="T156" s="125">
        <f t="shared" si="28"/>
        <v>39374.32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Valores!$C$96</f>
        <v>57944.18</v>
      </c>
      <c r="AA156" s="125">
        <f>Valores!$C$25</f>
        <v>1730.69</v>
      </c>
      <c r="AB156" s="214">
        <v>0</v>
      </c>
      <c r="AC156" s="125">
        <f t="shared" si="22"/>
        <v>0</v>
      </c>
      <c r="AD156" s="125">
        <f>Valores!$C$26</f>
        <v>1730.69</v>
      </c>
      <c r="AE156" s="192">
        <v>0</v>
      </c>
      <c r="AF156" s="125">
        <f>ROUND(AE156*Valores!$C$2,2)</f>
        <v>0</v>
      </c>
      <c r="AG156" s="125">
        <f>ROUND(IF($F$4="NO",Valores!$C$64,Valores!$C$64/2),2)</f>
        <v>19786.28</v>
      </c>
      <c r="AH156" s="125">
        <f>SUM(F156,H156,J156,L156,M156,N156,O156,P156,Q156,R156,T156,U156,V156,X156,Y156,Z156,AA156,AC156,AD156,AF156,AG156)*Valores!$C$104</f>
        <v>44436.945</v>
      </c>
      <c r="AI156" s="125">
        <f t="shared" si="25"/>
        <v>488806.39499999996</v>
      </c>
      <c r="AJ156" s="125">
        <f>Valores!$C$31</f>
        <v>35000</v>
      </c>
      <c r="AK156" s="125">
        <v>0</v>
      </c>
      <c r="AL156" s="125">
        <f>Valores!$C$89</f>
        <v>0</v>
      </c>
      <c r="AM156" s="125">
        <f>Valores!C$39*B156</f>
        <v>0</v>
      </c>
      <c r="AN156" s="125">
        <f>IF($F$3="NO",0,Valores!$C$57)</f>
        <v>0</v>
      </c>
      <c r="AO156" s="125">
        <f t="shared" si="23"/>
        <v>35000</v>
      </c>
      <c r="AP156" s="125">
        <f>AI156*Valores!$C$72</f>
        <v>-53768.70344999999</v>
      </c>
      <c r="AQ156" s="125">
        <f>IF(AI156&lt;Valores!$E$73,-0.02,IF(AI156&lt;Valores!$F$73,-0.03,-0.04))*AI156</f>
        <v>-9776.1279</v>
      </c>
      <c r="AR156" s="125">
        <f>AI156*Valores!$C$75</f>
        <v>-26884.351724999997</v>
      </c>
      <c r="AS156" s="125">
        <f>Valores!$C$102</f>
        <v>-1270.16</v>
      </c>
      <c r="AT156" s="125">
        <f>IF($F$5=0,Valores!$C$103,(Valores!$C$103+$F$5*(Valores!$C$103)))</f>
        <v>-11714</v>
      </c>
      <c r="AU156" s="125">
        <f t="shared" si="26"/>
        <v>420393.051925</v>
      </c>
      <c r="AV156" s="125">
        <f t="shared" si="20"/>
        <v>-53768.70344999999</v>
      </c>
      <c r="AW156" s="125">
        <f t="shared" si="27"/>
        <v>-9776.1279</v>
      </c>
      <c r="AX156" s="125">
        <f>AI156*Valores!$C$76</f>
        <v>-13197.772664999999</v>
      </c>
      <c r="AY156" s="125">
        <f>AI156*Valores!$C$77</f>
        <v>-1466.419185</v>
      </c>
      <c r="AZ156" s="125">
        <f t="shared" si="24"/>
        <v>445597.37179999996</v>
      </c>
      <c r="BA156" s="125">
        <f>AI156*Valores!$C$79</f>
        <v>78209.0232</v>
      </c>
      <c r="BB156" s="125">
        <f>AI156*Valores!$C$80</f>
        <v>34216.44765</v>
      </c>
      <c r="BC156" s="125">
        <f>AI156*Valores!$C$81</f>
        <v>4888.06395</v>
      </c>
      <c r="BD156" s="125">
        <f>AI156*Valores!$C$83</f>
        <v>17108.223825</v>
      </c>
      <c r="BE156" s="125">
        <f>AI156*Valores!$C$85</f>
        <v>26395.545329999997</v>
      </c>
      <c r="BF156" s="125">
        <f>AI156*Valores!$C$84</f>
        <v>2932.83837</v>
      </c>
      <c r="BG156" s="126"/>
      <c r="BH156" s="126"/>
      <c r="BI156" s="123" t="s">
        <v>4</v>
      </c>
    </row>
    <row r="157" spans="1:61" s="110" customFormat="1" ht="11.25" customHeight="1">
      <c r="A157" s="123" t="s">
        <v>399</v>
      </c>
      <c r="B157" s="123">
        <v>1</v>
      </c>
      <c r="C157" s="126">
        <v>150</v>
      </c>
      <c r="D157" s="124" t="s">
        <v>400</v>
      </c>
      <c r="E157" s="192">
        <f>1106+78</f>
        <v>1184</v>
      </c>
      <c r="F157" s="125">
        <f>ROUND(E157*Valores!$C$2,2)</f>
        <v>98011.52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41594.69</v>
      </c>
      <c r="N157" s="125">
        <f t="shared" si="21"/>
        <v>0</v>
      </c>
      <c r="O157" s="125">
        <f>Valores!$C$16</f>
        <v>71528.26</v>
      </c>
      <c r="P157" s="125">
        <f>Valores!$D$5</f>
        <v>42317.14</v>
      </c>
      <c r="Q157" s="125">
        <v>0</v>
      </c>
      <c r="R157" s="125">
        <f>IF($F$4="NO",Valores!$C$45,Valores!$C$45/2)</f>
        <v>29395.49</v>
      </c>
      <c r="S157" s="125">
        <f>Valores!$C$20</f>
        <v>38971.76</v>
      </c>
      <c r="T157" s="125">
        <f t="shared" si="28"/>
        <v>38971.76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Valores!$C$96</f>
        <v>57944.18</v>
      </c>
      <c r="AA157" s="125">
        <f>Valores!$C$25</f>
        <v>1730.69</v>
      </c>
      <c r="AB157" s="214">
        <v>0</v>
      </c>
      <c r="AC157" s="125">
        <f t="shared" si="22"/>
        <v>0</v>
      </c>
      <c r="AD157" s="125">
        <f>Valores!$C$26</f>
        <v>1730.69</v>
      </c>
      <c r="AE157" s="192">
        <v>0</v>
      </c>
      <c r="AF157" s="125">
        <f>ROUND(AE157*Valores!$C$2,2)</f>
        <v>0</v>
      </c>
      <c r="AG157" s="125">
        <f>ROUND(IF($F$4="NO",Valores!$C$64,Valores!$C$64/2),2)</f>
        <v>19786.28</v>
      </c>
      <c r="AH157" s="125">
        <f>SUM(F157,H157,J157,L157,M157,N157,O157,P157,Q157,R157,T157,U157,V157,X157,Y157,Z157,AA157,AC157,AD157,AF157,AG157)*Valores!$C$104</f>
        <v>40301.07000000001</v>
      </c>
      <c r="AI157" s="125">
        <f t="shared" si="25"/>
        <v>443311.7700000001</v>
      </c>
      <c r="AJ157" s="125">
        <f>Valores!$C$31</f>
        <v>35000</v>
      </c>
      <c r="AK157" s="125">
        <v>0</v>
      </c>
      <c r="AL157" s="125">
        <f>Valores!$C$89</f>
        <v>0</v>
      </c>
      <c r="AM157" s="125">
        <f>Valores!C$39*B157</f>
        <v>0</v>
      </c>
      <c r="AN157" s="125">
        <f>IF($F$3="NO",0,Valores!$C$57)</f>
        <v>0</v>
      </c>
      <c r="AO157" s="125">
        <f t="shared" si="23"/>
        <v>35000</v>
      </c>
      <c r="AP157" s="125">
        <f>AI157*Valores!$C$72</f>
        <v>-48764.294700000006</v>
      </c>
      <c r="AQ157" s="125">
        <f>IF(AI157&lt;Valores!$E$73,-0.02,IF(AI157&lt;Valores!$F$73,-0.03,-0.04))*AI157</f>
        <v>-8866.235400000001</v>
      </c>
      <c r="AR157" s="125">
        <f>AI157*Valores!$C$75</f>
        <v>-24382.147350000003</v>
      </c>
      <c r="AS157" s="125">
        <f>Valores!$C$102</f>
        <v>-1270.16</v>
      </c>
      <c r="AT157" s="125">
        <f>IF($F$5=0,Valores!$C$103,(Valores!$C$103+$F$5*(Valores!$C$103)))</f>
        <v>-11714</v>
      </c>
      <c r="AU157" s="125">
        <f t="shared" si="26"/>
        <v>383314.9325500001</v>
      </c>
      <c r="AV157" s="125">
        <f t="shared" si="20"/>
        <v>-48764.294700000006</v>
      </c>
      <c r="AW157" s="125">
        <f t="shared" si="27"/>
        <v>-8866.235400000001</v>
      </c>
      <c r="AX157" s="125">
        <f>AI157*Valores!$C$76</f>
        <v>-11969.417790000001</v>
      </c>
      <c r="AY157" s="125">
        <f>AI157*Valores!$C$77</f>
        <v>-1329.9353100000003</v>
      </c>
      <c r="AZ157" s="125">
        <f t="shared" si="24"/>
        <v>407381.8868000001</v>
      </c>
      <c r="BA157" s="125">
        <f>AI157*Valores!$C$79</f>
        <v>70929.88320000001</v>
      </c>
      <c r="BB157" s="125">
        <f>AI157*Valores!$C$80</f>
        <v>31031.823900000007</v>
      </c>
      <c r="BC157" s="125">
        <f>AI157*Valores!$C$81</f>
        <v>4433.117700000001</v>
      </c>
      <c r="BD157" s="125">
        <f>AI157*Valores!$C$83</f>
        <v>15515.911950000003</v>
      </c>
      <c r="BE157" s="125">
        <f>AI157*Valores!$C$85</f>
        <v>23938.835580000003</v>
      </c>
      <c r="BF157" s="125">
        <f>AI157*Valores!$C$84</f>
        <v>2659.8706200000006</v>
      </c>
      <c r="BG157" s="126"/>
      <c r="BH157" s="126"/>
      <c r="BI157" s="123" t="s">
        <v>8</v>
      </c>
    </row>
    <row r="158" spans="1:61" s="110" customFormat="1" ht="11.25" customHeight="1">
      <c r="A158" s="123" t="s">
        <v>401</v>
      </c>
      <c r="B158" s="123">
        <v>1</v>
      </c>
      <c r="C158" s="126">
        <v>151</v>
      </c>
      <c r="D158" s="124" t="s">
        <v>402</v>
      </c>
      <c r="E158" s="192">
        <v>971</v>
      </c>
      <c r="F158" s="125">
        <f>ROUND(E158*Valores!$C$2,2)</f>
        <v>80379.38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36873.24</v>
      </c>
      <c r="N158" s="125">
        <f t="shared" si="21"/>
        <v>0</v>
      </c>
      <c r="O158" s="125">
        <f>Valores!$C$16</f>
        <v>71528.26</v>
      </c>
      <c r="P158" s="125">
        <f>Valores!$D$5</f>
        <v>42317.14</v>
      </c>
      <c r="Q158" s="125">
        <f>Valores!$C$23</f>
        <v>35136.41</v>
      </c>
      <c r="R158" s="125">
        <f>IF($F$4="NO",Valores!$C$44,Valores!$C$44/2)</f>
        <v>27739.24</v>
      </c>
      <c r="S158" s="125">
        <f>Valores!$C$19</f>
        <v>39374.32</v>
      </c>
      <c r="T158" s="125">
        <f t="shared" si="28"/>
        <v>39374.32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Valores!$C$96</f>
        <v>57944.18</v>
      </c>
      <c r="AA158" s="125">
        <f>Valores!$C$25</f>
        <v>1730.69</v>
      </c>
      <c r="AB158" s="214">
        <v>0</v>
      </c>
      <c r="AC158" s="125">
        <f t="shared" si="22"/>
        <v>0</v>
      </c>
      <c r="AD158" s="125">
        <f>Valores!$C$25</f>
        <v>1730.69</v>
      </c>
      <c r="AE158" s="192">
        <v>0</v>
      </c>
      <c r="AF158" s="125">
        <f>ROUND(AE158*Valores!$C$2,2)</f>
        <v>0</v>
      </c>
      <c r="AG158" s="125">
        <f>ROUND(IF($F$4="NO",Valores!$C$64,Valores!$C$64/2),2)</f>
        <v>19786.28</v>
      </c>
      <c r="AH158" s="125">
        <f>SUM(F158,H158,J158,L158,M158,N158,O158,P158,Q158,R158,T158,U158,V158,X158,Y158,Z158,AA158,AC158,AD158,AF158,AG158)*Valores!$C$104</f>
        <v>41453.98300000001</v>
      </c>
      <c r="AI158" s="125">
        <f t="shared" si="25"/>
        <v>455993.8130000001</v>
      </c>
      <c r="AJ158" s="125">
        <f>Valores!$C$31</f>
        <v>35000</v>
      </c>
      <c r="AK158" s="125">
        <v>0</v>
      </c>
      <c r="AL158" s="125">
        <f>Valores!$C$89</f>
        <v>0</v>
      </c>
      <c r="AM158" s="125">
        <f>Valores!C$39*B158</f>
        <v>0</v>
      </c>
      <c r="AN158" s="125">
        <f>(IF($F$3="NO",0,Valores!$C$59))</f>
        <v>0</v>
      </c>
      <c r="AO158" s="125">
        <f t="shared" si="23"/>
        <v>35000</v>
      </c>
      <c r="AP158" s="125">
        <f>AI158*Valores!$C$72</f>
        <v>-50159.31943000001</v>
      </c>
      <c r="AQ158" s="125">
        <f>IF(AI158&lt;Valores!$E$73,-0.02,IF(AI158&lt;Valores!$F$73,-0.03,-0.04))*AI158</f>
        <v>-9119.876260000003</v>
      </c>
      <c r="AR158" s="125">
        <f>AI158*Valores!$C$75</f>
        <v>-25079.659715000005</v>
      </c>
      <c r="AS158" s="125">
        <f>Valores!$C$102</f>
        <v>-1270.16</v>
      </c>
      <c r="AT158" s="125">
        <f>IF($F$5=0,Valores!$C$103,(Valores!$C$103+$F$5*(Valores!$C$103)))</f>
        <v>-11714</v>
      </c>
      <c r="AU158" s="125">
        <f t="shared" si="26"/>
        <v>393650.79759500007</v>
      </c>
      <c r="AV158" s="125">
        <f t="shared" si="20"/>
        <v>-50159.31943000001</v>
      </c>
      <c r="AW158" s="125">
        <f t="shared" si="27"/>
        <v>-9119.876260000003</v>
      </c>
      <c r="AX158" s="125">
        <f>AI158*Valores!$C$76</f>
        <v>-12311.832951000002</v>
      </c>
      <c r="AY158" s="125">
        <f>AI158*Valores!$C$77</f>
        <v>-1367.9814390000004</v>
      </c>
      <c r="AZ158" s="125">
        <f t="shared" si="24"/>
        <v>418034.80292000005</v>
      </c>
      <c r="BA158" s="125">
        <f>AI158*Valores!$C$79</f>
        <v>72959.01008000002</v>
      </c>
      <c r="BB158" s="125">
        <f>AI158*Valores!$C$80</f>
        <v>31919.56691000001</v>
      </c>
      <c r="BC158" s="125">
        <f>AI158*Valores!$C$81</f>
        <v>4559.938130000001</v>
      </c>
      <c r="BD158" s="125">
        <f>AI158*Valores!$C$83</f>
        <v>15959.783455000004</v>
      </c>
      <c r="BE158" s="125">
        <f>AI158*Valores!$C$85</f>
        <v>24623.665902000004</v>
      </c>
      <c r="BF158" s="125">
        <f>AI158*Valores!$C$84</f>
        <v>2735.9628780000007</v>
      </c>
      <c r="BG158" s="126">
        <v>12</v>
      </c>
      <c r="BH158" s="126">
        <v>12</v>
      </c>
      <c r="BI158" s="123" t="s">
        <v>4</v>
      </c>
    </row>
    <row r="159" spans="1:61" s="110" customFormat="1" ht="11.25" customHeight="1">
      <c r="A159" s="123" t="s">
        <v>401</v>
      </c>
      <c r="B159" s="123">
        <v>1</v>
      </c>
      <c r="C159" s="126">
        <v>152</v>
      </c>
      <c r="D159" s="124" t="s">
        <v>403</v>
      </c>
      <c r="E159" s="192">
        <v>971</v>
      </c>
      <c r="F159" s="125">
        <f>ROUND(E159*Valores!$C$2,2)</f>
        <v>80379.38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49275.37</v>
      </c>
      <c r="N159" s="125">
        <f t="shared" si="21"/>
        <v>0</v>
      </c>
      <c r="O159" s="125">
        <f>Valores!$C$16</f>
        <v>71528.26</v>
      </c>
      <c r="P159" s="125">
        <f>Valores!$D$5</f>
        <v>42317.14</v>
      </c>
      <c r="Q159" s="125">
        <f>Valores!$C$23</f>
        <v>35136.41</v>
      </c>
      <c r="R159" s="125">
        <f>IF($F$4="NO",Valores!$C$48,Valores!$C$48/2)</f>
        <v>44235.76</v>
      </c>
      <c r="S159" s="125">
        <f>Valores!$C$19</f>
        <v>39374.32</v>
      </c>
      <c r="T159" s="125">
        <f t="shared" si="28"/>
        <v>39374.32</v>
      </c>
      <c r="U159" s="125">
        <v>0</v>
      </c>
      <c r="V159" s="125">
        <v>0</v>
      </c>
      <c r="W159" s="192">
        <v>400</v>
      </c>
      <c r="X159" s="125">
        <f>ROUND(W159*Valores!$C$2,2)</f>
        <v>33112</v>
      </c>
      <c r="Y159" s="125">
        <f>ROUND(SUM(J159,H159,F159,R159)*Valores!$C$3,2)</f>
        <v>18692.27</v>
      </c>
      <c r="Z159" s="125">
        <f>Valores!$C$96</f>
        <v>57944.18</v>
      </c>
      <c r="AA159" s="125">
        <f>Valores!$C$25</f>
        <v>1730.69</v>
      </c>
      <c r="AB159" s="214">
        <v>0</v>
      </c>
      <c r="AC159" s="125">
        <f t="shared" si="22"/>
        <v>0</v>
      </c>
      <c r="AD159" s="125">
        <f>Valores!$C$25</f>
        <v>1730.69</v>
      </c>
      <c r="AE159" s="192">
        <v>94</v>
      </c>
      <c r="AF159" s="125">
        <f>ROUND(AE159*Valores!$C$2,2)</f>
        <v>7781.32</v>
      </c>
      <c r="AG159" s="125">
        <f>ROUND(IF($F$4="NO",Valores!$C$64,Valores!$C$64/2),2)</f>
        <v>19786.28</v>
      </c>
      <c r="AH159" s="125">
        <f>SUM(F159,H159,J159,L159,M159,N159,O159,P159,Q159,R159,T159,U159,V159,X159,Y159,Z159,AA159,AC159,AD159,AF159,AG159)*Valores!$C$104</f>
        <v>50302.40700000001</v>
      </c>
      <c r="AI159" s="125">
        <f t="shared" si="25"/>
        <v>553326.4770000001</v>
      </c>
      <c r="AJ159" s="125">
        <f>Valores!$C$31</f>
        <v>35000</v>
      </c>
      <c r="AK159" s="125">
        <v>0</v>
      </c>
      <c r="AL159" s="125">
        <f>Valores!$C$89</f>
        <v>0</v>
      </c>
      <c r="AM159" s="125">
        <f>Valores!C$39*B159</f>
        <v>0</v>
      </c>
      <c r="AN159" s="125">
        <f>(IF($F$3="NO",0,Valores!$C$59))</f>
        <v>0</v>
      </c>
      <c r="AO159" s="125">
        <f t="shared" si="23"/>
        <v>35000</v>
      </c>
      <c r="AP159" s="125">
        <f>AI159*Valores!$C$72</f>
        <v>-60865.91247000001</v>
      </c>
      <c r="AQ159" s="125">
        <f>IF(AI159&lt;Valores!$E$73,-0.02,IF(AI159&lt;Valores!$F$73,-0.03,-0.04))*AI159</f>
        <v>-11066.529540000001</v>
      </c>
      <c r="AR159" s="125">
        <f>AI159*Valores!$C$75</f>
        <v>-30432.956235000005</v>
      </c>
      <c r="AS159" s="125">
        <f>Valores!$C$102</f>
        <v>-1270.16</v>
      </c>
      <c r="AT159" s="125">
        <f>IF($F$5=0,Valores!$C$103,(Valores!$C$103+$F$5*(Valores!$C$103)))</f>
        <v>-11714</v>
      </c>
      <c r="AU159" s="125">
        <f t="shared" si="26"/>
        <v>472976.91875500005</v>
      </c>
      <c r="AV159" s="125">
        <f t="shared" si="20"/>
        <v>-60865.91247000001</v>
      </c>
      <c r="AW159" s="125">
        <f t="shared" si="27"/>
        <v>-11066.529540000001</v>
      </c>
      <c r="AX159" s="125">
        <f>AI159*Valores!$C$76</f>
        <v>-14939.814879000001</v>
      </c>
      <c r="AY159" s="125">
        <f>AI159*Valores!$C$77</f>
        <v>-1659.9794310000002</v>
      </c>
      <c r="AZ159" s="125">
        <f t="shared" si="24"/>
        <v>499794.24068000005</v>
      </c>
      <c r="BA159" s="125">
        <f>AI159*Valores!$C$79</f>
        <v>88532.23632000001</v>
      </c>
      <c r="BB159" s="125">
        <f>AI159*Valores!$C$80</f>
        <v>38732.85339000001</v>
      </c>
      <c r="BC159" s="125">
        <f>AI159*Valores!$C$81</f>
        <v>5533.264770000001</v>
      </c>
      <c r="BD159" s="125">
        <f>AI159*Valores!$C$83</f>
        <v>19366.426695000006</v>
      </c>
      <c r="BE159" s="125">
        <f>AI159*Valores!$C$85</f>
        <v>29879.629758000003</v>
      </c>
      <c r="BF159" s="125">
        <f>AI159*Valores!$C$84</f>
        <v>3319.9588620000004</v>
      </c>
      <c r="BG159" s="126">
        <v>12</v>
      </c>
      <c r="BH159" s="126">
        <v>18</v>
      </c>
      <c r="BI159" s="123" t="s">
        <v>4</v>
      </c>
    </row>
    <row r="160" spans="1:61" s="110" customFormat="1" ht="11.25" customHeight="1">
      <c r="A160" s="123" t="s">
        <v>404</v>
      </c>
      <c r="B160" s="123">
        <v>1</v>
      </c>
      <c r="C160" s="126">
        <v>153</v>
      </c>
      <c r="D160" s="124" t="s">
        <v>405</v>
      </c>
      <c r="E160" s="192">
        <v>810</v>
      </c>
      <c r="F160" s="125">
        <f>ROUND(E160*Valores!$C$2,2)</f>
        <v>67051.8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33440.7</v>
      </c>
      <c r="N160" s="125">
        <f t="shared" si="21"/>
        <v>0</v>
      </c>
      <c r="O160" s="125">
        <f>Valores!$C$16</f>
        <v>71528.26</v>
      </c>
      <c r="P160" s="125">
        <f>Valores!$D$5</f>
        <v>42317.14</v>
      </c>
      <c r="Q160" s="125">
        <f>Valores!$C$23</f>
        <v>35136.41</v>
      </c>
      <c r="R160" s="125">
        <f>IF($F$4="NO",Valores!$C$44,Valores!$C$44/2)</f>
        <v>27739.24</v>
      </c>
      <c r="S160" s="125">
        <f>Valores!$C$20</f>
        <v>38971.76</v>
      </c>
      <c r="T160" s="125">
        <f t="shared" si="28"/>
        <v>38971.76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Valores!$C$96</f>
        <v>57944.18</v>
      </c>
      <c r="AA160" s="125">
        <f>Valores!$C$25</f>
        <v>1730.69</v>
      </c>
      <c r="AB160" s="214">
        <v>0</v>
      </c>
      <c r="AC160" s="125">
        <f t="shared" si="22"/>
        <v>0</v>
      </c>
      <c r="AD160" s="125">
        <f>Valores!$C$26</f>
        <v>1730.69</v>
      </c>
      <c r="AE160" s="192">
        <v>0</v>
      </c>
      <c r="AF160" s="125">
        <f>ROUND(AE160*Valores!$C$2,2)</f>
        <v>0</v>
      </c>
      <c r="AG160" s="125">
        <f>ROUND(IF($F$4="NO",Valores!$C$64,Valores!$C$64/2),2)</f>
        <v>19786.28</v>
      </c>
      <c r="AH160" s="125">
        <f>SUM(F160,H160,J160,L160,M160,N160,O160,P160,Q160,R160,T160,U160,V160,X160,Y160,Z160,AA160,AC160,AD160,AF160,AG160)*Valores!$C$104</f>
        <v>39737.715000000004</v>
      </c>
      <c r="AI160" s="125">
        <f t="shared" si="25"/>
        <v>437114.86500000005</v>
      </c>
      <c r="AJ160" s="125">
        <f>Valores!$C$31</f>
        <v>35000</v>
      </c>
      <c r="AK160" s="125">
        <v>0</v>
      </c>
      <c r="AL160" s="125">
        <f>Valores!$C$89</f>
        <v>0</v>
      </c>
      <c r="AM160" s="125">
        <f>Valores!C$39*B160</f>
        <v>0</v>
      </c>
      <c r="AN160" s="125">
        <f>IF($F$3="NO",0,Valores!$C$57)</f>
        <v>0</v>
      </c>
      <c r="AO160" s="125">
        <f t="shared" si="23"/>
        <v>35000</v>
      </c>
      <c r="AP160" s="125">
        <f>AI160*Valores!$C$72</f>
        <v>-48082.63515000001</v>
      </c>
      <c r="AQ160" s="125">
        <f>IF(AI160&lt;Valores!$E$73,-0.02,IF(AI160&lt;Valores!$F$73,-0.03,-0.04))*AI160</f>
        <v>-8742.297300000002</v>
      </c>
      <c r="AR160" s="125">
        <f>AI160*Valores!$C$75</f>
        <v>-24041.317575000005</v>
      </c>
      <c r="AS160" s="125">
        <f>Valores!$C$102</f>
        <v>-1270.16</v>
      </c>
      <c r="AT160" s="125">
        <f>IF($F$5=0,Valores!$C$103,(Valores!$C$103+$F$5*(Valores!$C$103)))</f>
        <v>-11714</v>
      </c>
      <c r="AU160" s="125">
        <f t="shared" si="26"/>
        <v>378264.454975</v>
      </c>
      <c r="AV160" s="125">
        <f t="shared" si="20"/>
        <v>-48082.63515000001</v>
      </c>
      <c r="AW160" s="125">
        <f t="shared" si="27"/>
        <v>-8742.297300000002</v>
      </c>
      <c r="AX160" s="125">
        <f>AI160*Valores!$C$76</f>
        <v>-11802.101355</v>
      </c>
      <c r="AY160" s="125">
        <f>AI160*Valores!$C$77</f>
        <v>-1311.3445950000003</v>
      </c>
      <c r="AZ160" s="125">
        <f t="shared" si="24"/>
        <v>402176.48660000006</v>
      </c>
      <c r="BA160" s="125">
        <f>AI160*Valores!$C$79</f>
        <v>69938.37840000002</v>
      </c>
      <c r="BB160" s="125">
        <f>AI160*Valores!$C$80</f>
        <v>30598.040550000005</v>
      </c>
      <c r="BC160" s="125">
        <f>AI160*Valores!$C$81</f>
        <v>4371.148650000001</v>
      </c>
      <c r="BD160" s="125">
        <f>AI160*Valores!$C$83</f>
        <v>15299.020275000003</v>
      </c>
      <c r="BE160" s="125">
        <f>AI160*Valores!$C$85</f>
        <v>23604.20271</v>
      </c>
      <c r="BF160" s="125">
        <f>AI160*Valores!$C$84</f>
        <v>2622.6891900000005</v>
      </c>
      <c r="BG160" s="126"/>
      <c r="BH160" s="126"/>
      <c r="BI160" s="123" t="s">
        <v>4</v>
      </c>
    </row>
    <row r="161" spans="1:61" s="110" customFormat="1" ht="11.25" customHeight="1">
      <c r="A161" s="123" t="s">
        <v>406</v>
      </c>
      <c r="B161" s="123">
        <v>1</v>
      </c>
      <c r="C161" s="126">
        <v>154</v>
      </c>
      <c r="D161" s="124" t="s">
        <v>407</v>
      </c>
      <c r="E161" s="192">
        <v>1065</v>
      </c>
      <c r="F161" s="125">
        <f>ROUND(E161*Valores!$C$2,2)</f>
        <v>88160.7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38818.57</v>
      </c>
      <c r="N161" s="125">
        <f t="shared" si="21"/>
        <v>0</v>
      </c>
      <c r="O161" s="125">
        <f>Valores!$C$16</f>
        <v>71528.26</v>
      </c>
      <c r="P161" s="125">
        <f>Valores!$D$5</f>
        <v>42317.14</v>
      </c>
      <c r="Q161" s="125">
        <f>Valores!$C$23</f>
        <v>35136.41</v>
      </c>
      <c r="R161" s="125">
        <f>IF($F$4="NO",Valores!$C$44,Valores!$C$44/2)</f>
        <v>27739.24</v>
      </c>
      <c r="S161" s="125">
        <f>Valores!$C$19</f>
        <v>39374.32</v>
      </c>
      <c r="T161" s="125">
        <f t="shared" si="28"/>
        <v>39374.32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Valores!$C$96</f>
        <v>57944.18</v>
      </c>
      <c r="AA161" s="125">
        <f>Valores!$C$25</f>
        <v>1730.69</v>
      </c>
      <c r="AB161" s="214">
        <v>0</v>
      </c>
      <c r="AC161" s="125">
        <f t="shared" si="22"/>
        <v>0</v>
      </c>
      <c r="AD161" s="125">
        <f>Valores!$C$26</f>
        <v>1730.69</v>
      </c>
      <c r="AE161" s="192">
        <v>0</v>
      </c>
      <c r="AF161" s="125">
        <f>ROUND(AE161*Valores!$C$2,2)</f>
        <v>0</v>
      </c>
      <c r="AG161" s="125">
        <f>ROUND(IF($F$4="NO",Valores!$C$64,Valores!$C$64/2),2)</f>
        <v>19786.28</v>
      </c>
      <c r="AH161" s="125">
        <f>SUM(F161,H161,J161,L161,M161,N161,O161,P161,Q161,R161,T161,U161,V161,X161,Y161,Z161,AA161,AC161,AD161,AF161,AG161)*Valores!$C$104</f>
        <v>42426.648</v>
      </c>
      <c r="AI161" s="125">
        <f t="shared" si="25"/>
        <v>466693.12799999997</v>
      </c>
      <c r="AJ161" s="125">
        <f>Valores!$C$31</f>
        <v>35000</v>
      </c>
      <c r="AK161" s="125">
        <v>0</v>
      </c>
      <c r="AL161" s="125">
        <f>Valores!$C$89</f>
        <v>0</v>
      </c>
      <c r="AM161" s="125">
        <f>Valores!C$39*B161</f>
        <v>0</v>
      </c>
      <c r="AN161" s="125">
        <f>IF($F$3="NO",0,Valores!$C$57)</f>
        <v>0</v>
      </c>
      <c r="AO161" s="125">
        <f t="shared" si="23"/>
        <v>35000</v>
      </c>
      <c r="AP161" s="125">
        <f>AI161*Valores!$C$72</f>
        <v>-51336.24408</v>
      </c>
      <c r="AQ161" s="125">
        <f>IF(AI161&lt;Valores!$E$73,-0.02,IF(AI161&lt;Valores!$F$73,-0.03,-0.04))*AI161</f>
        <v>-9333.86256</v>
      </c>
      <c r="AR161" s="125">
        <f>AI161*Valores!$C$75</f>
        <v>-25668.12204</v>
      </c>
      <c r="AS161" s="125">
        <f>Valores!$C$102</f>
        <v>-1270.16</v>
      </c>
      <c r="AT161" s="125">
        <f>IF($F$5=0,Valores!$C$103,(Valores!$C$103+$F$5*(Valores!$C$103)))</f>
        <v>-11714</v>
      </c>
      <c r="AU161" s="125">
        <f t="shared" si="26"/>
        <v>402370.73931999994</v>
      </c>
      <c r="AV161" s="125">
        <f t="shared" si="20"/>
        <v>-51336.24408</v>
      </c>
      <c r="AW161" s="125">
        <f t="shared" si="27"/>
        <v>-9333.86256</v>
      </c>
      <c r="AX161" s="125">
        <f>AI161*Valores!$C$76</f>
        <v>-12600.714456</v>
      </c>
      <c r="AY161" s="125">
        <f>AI161*Valores!$C$77</f>
        <v>-1400.079384</v>
      </c>
      <c r="AZ161" s="125">
        <f t="shared" si="24"/>
        <v>427022.22751999996</v>
      </c>
      <c r="BA161" s="125">
        <f>AI161*Valores!$C$79</f>
        <v>74670.90048</v>
      </c>
      <c r="BB161" s="125">
        <f>AI161*Valores!$C$80</f>
        <v>32668.51896</v>
      </c>
      <c r="BC161" s="125">
        <f>AI161*Valores!$C$81</f>
        <v>4666.93128</v>
      </c>
      <c r="BD161" s="125">
        <f>AI161*Valores!$C$83</f>
        <v>16334.25948</v>
      </c>
      <c r="BE161" s="125">
        <f>AI161*Valores!$C$85</f>
        <v>25201.428912</v>
      </c>
      <c r="BF161" s="125">
        <f>AI161*Valores!$C$84</f>
        <v>2800.158768</v>
      </c>
      <c r="BG161" s="126"/>
      <c r="BH161" s="126">
        <v>27</v>
      </c>
      <c r="BI161" s="123" t="s">
        <v>4</v>
      </c>
    </row>
    <row r="162" spans="1:61" s="110" customFormat="1" ht="11.25" customHeight="1">
      <c r="A162" s="123" t="s">
        <v>406</v>
      </c>
      <c r="B162" s="123">
        <v>1</v>
      </c>
      <c r="C162" s="126">
        <v>155</v>
      </c>
      <c r="D162" s="124" t="s">
        <v>408</v>
      </c>
      <c r="E162" s="192">
        <v>1065</v>
      </c>
      <c r="F162" s="125">
        <f>ROUND(E162*Valores!$C$2,2)</f>
        <v>88160.7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38818.57</v>
      </c>
      <c r="N162" s="125">
        <f t="shared" si="21"/>
        <v>0</v>
      </c>
      <c r="O162" s="125">
        <f>Valores!$C$16</f>
        <v>71528.26</v>
      </c>
      <c r="P162" s="125">
        <f>Valores!$D$5</f>
        <v>42317.14</v>
      </c>
      <c r="Q162" s="125">
        <f>Valores!$C$23</f>
        <v>35136.41</v>
      </c>
      <c r="R162" s="125">
        <f>IF($F$4="NO",Valores!$C$44,Valores!$C$44/2)</f>
        <v>27739.24</v>
      </c>
      <c r="S162" s="125">
        <f>Valores!$C$19</f>
        <v>39374.32</v>
      </c>
      <c r="T162" s="125">
        <f t="shared" si="28"/>
        <v>39374.32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Valores!$C$96</f>
        <v>57944.18</v>
      </c>
      <c r="AA162" s="125">
        <f>Valores!$C$25</f>
        <v>1730.69</v>
      </c>
      <c r="AB162" s="214">
        <v>0</v>
      </c>
      <c r="AC162" s="125">
        <f t="shared" si="22"/>
        <v>0</v>
      </c>
      <c r="AD162" s="125">
        <f>Valores!$C$26</f>
        <v>1730.69</v>
      </c>
      <c r="AE162" s="192">
        <v>94</v>
      </c>
      <c r="AF162" s="125">
        <f>ROUND(AE162*Valores!$C$2,2)</f>
        <v>7781.32</v>
      </c>
      <c r="AG162" s="125">
        <f>ROUND(IF($F$4="NO",Valores!$C$64,Valores!$C$64/2),2)</f>
        <v>19786.28</v>
      </c>
      <c r="AH162" s="125">
        <f>SUM(F162,H162,J162,L162,M162,N162,O162,P162,Q162,R162,T162,U162,V162,X162,Y162,Z162,AA162,AC162,AD162,AF162,AG162)*Valores!$C$104</f>
        <v>43204.78</v>
      </c>
      <c r="AI162" s="125">
        <f t="shared" si="25"/>
        <v>475252.57999999996</v>
      </c>
      <c r="AJ162" s="125">
        <f>Valores!$C$31</f>
        <v>35000</v>
      </c>
      <c r="AK162" s="125">
        <v>0</v>
      </c>
      <c r="AL162" s="125">
        <f>Valores!$C$89</f>
        <v>0</v>
      </c>
      <c r="AM162" s="125">
        <f>Valores!C$39*B162</f>
        <v>0</v>
      </c>
      <c r="AN162" s="125">
        <f>IF($F$3="NO",0,Valores!$C$57)</f>
        <v>0</v>
      </c>
      <c r="AO162" s="125">
        <f t="shared" si="23"/>
        <v>35000</v>
      </c>
      <c r="AP162" s="125">
        <f>AI162*Valores!$C$72</f>
        <v>-52277.7838</v>
      </c>
      <c r="AQ162" s="125">
        <f>IF(AI162&lt;Valores!$E$73,-0.02,IF(AI162&lt;Valores!$F$73,-0.03,-0.04))*AI162</f>
        <v>-9505.051599999999</v>
      </c>
      <c r="AR162" s="125">
        <f>AI162*Valores!$C$75</f>
        <v>-26138.8919</v>
      </c>
      <c r="AS162" s="125">
        <f>Valores!$C$102</f>
        <v>-1270.16</v>
      </c>
      <c r="AT162" s="125">
        <f>IF($F$5=0,Valores!$C$103,(Valores!$C$103+$F$5*(Valores!$C$103)))</f>
        <v>-11714</v>
      </c>
      <c r="AU162" s="125">
        <f t="shared" si="26"/>
        <v>409346.69269999996</v>
      </c>
      <c r="AV162" s="125">
        <f t="shared" si="20"/>
        <v>-52277.7838</v>
      </c>
      <c r="AW162" s="125">
        <f t="shared" si="27"/>
        <v>-9505.051599999999</v>
      </c>
      <c r="AX162" s="125">
        <f>AI162*Valores!$C$76</f>
        <v>-12831.81966</v>
      </c>
      <c r="AY162" s="125">
        <f>AI162*Valores!$C$77</f>
        <v>-1425.75774</v>
      </c>
      <c r="AZ162" s="125">
        <f t="shared" si="24"/>
        <v>434212.16719999997</v>
      </c>
      <c r="BA162" s="125">
        <f>AI162*Valores!$C$79</f>
        <v>76040.41279999999</v>
      </c>
      <c r="BB162" s="125">
        <f>AI162*Valores!$C$80</f>
        <v>33267.6806</v>
      </c>
      <c r="BC162" s="125">
        <f>AI162*Valores!$C$81</f>
        <v>4752.525799999999</v>
      </c>
      <c r="BD162" s="125">
        <f>AI162*Valores!$C$83</f>
        <v>16633.8403</v>
      </c>
      <c r="BE162" s="125">
        <f>AI162*Valores!$C$85</f>
        <v>25663.63932</v>
      </c>
      <c r="BF162" s="125">
        <f>AI162*Valores!$C$84</f>
        <v>2851.51548</v>
      </c>
      <c r="BG162" s="126"/>
      <c r="BH162" s="126">
        <v>27</v>
      </c>
      <c r="BI162" s="123" t="s">
        <v>4</v>
      </c>
    </row>
    <row r="163" spans="1:61" s="110" customFormat="1" ht="11.25" customHeight="1">
      <c r="A163" s="123" t="s">
        <v>409</v>
      </c>
      <c r="B163" s="123">
        <v>1</v>
      </c>
      <c r="C163" s="126">
        <v>156</v>
      </c>
      <c r="D163" s="124" t="s">
        <v>410</v>
      </c>
      <c r="E163" s="192">
        <v>98</v>
      </c>
      <c r="F163" s="125">
        <f>ROUND(E163*Valores!$C$2,2)</f>
        <v>8112.44</v>
      </c>
      <c r="G163" s="192">
        <v>2686</v>
      </c>
      <c r="H163" s="125">
        <f>ROUND(G163*Valores!$C$2,2)</f>
        <v>222347.08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93003.9</v>
      </c>
      <c r="N163" s="125">
        <f t="shared" si="21"/>
        <v>0</v>
      </c>
      <c r="O163" s="125">
        <f>Valores!$C$8</f>
        <v>103748.61</v>
      </c>
      <c r="P163" s="125">
        <f>Valores!$D$5</f>
        <v>42317.14</v>
      </c>
      <c r="Q163" s="125">
        <f>Valores!$C$22</f>
        <v>37751.3</v>
      </c>
      <c r="R163" s="125">
        <f>IF($F$4="NO",Valores!$C$48,Valores!$C$48/2)</f>
        <v>44235.76</v>
      </c>
      <c r="S163" s="125">
        <f>Valores!$C$19</f>
        <v>39374.32</v>
      </c>
      <c r="T163" s="125">
        <f t="shared" si="28"/>
        <v>39374.32</v>
      </c>
      <c r="U163" s="125">
        <v>0</v>
      </c>
      <c r="V163" s="125">
        <v>0</v>
      </c>
      <c r="W163" s="192">
        <v>700</v>
      </c>
      <c r="X163" s="125">
        <f>ROUND(W163*Valores!$C$2,2)</f>
        <v>57946</v>
      </c>
      <c r="Y163" s="125">
        <f>ROUND(SUM(J163,H163,F163,R163)*Valores!$C$3,2)</f>
        <v>41204.29</v>
      </c>
      <c r="Z163" s="125">
        <f>Valores!$C$98</f>
        <v>115888.34</v>
      </c>
      <c r="AA163" s="125">
        <f>Valores!$C$25</f>
        <v>1730.69</v>
      </c>
      <c r="AB163" s="214">
        <v>0</v>
      </c>
      <c r="AC163" s="125">
        <f t="shared" si="22"/>
        <v>0</v>
      </c>
      <c r="AD163" s="125">
        <f>Valores!$C$26</f>
        <v>1730.69</v>
      </c>
      <c r="AE163" s="192">
        <v>94</v>
      </c>
      <c r="AF163" s="125">
        <f>ROUND(AE163*Valores!$C$2,2)</f>
        <v>7781.32</v>
      </c>
      <c r="AG163" s="125">
        <f>ROUND(IF($F$4="NO",Valores!$C$64,Valores!$C$64/2),2)</f>
        <v>19786.28</v>
      </c>
      <c r="AH163" s="125">
        <f>SUM(F163,H163,J163,L163,M163,N163,O163,P163,Q163,R163,T163,U163,V163,X163,Y163,Z163,AA163,AC163,AD163,AF163,AG163)*Valores!$C$104</f>
        <v>83695.81599999999</v>
      </c>
      <c r="AI163" s="125">
        <f t="shared" si="25"/>
        <v>920653.9759999998</v>
      </c>
      <c r="AJ163" s="125">
        <f>Valores!$C$32</f>
        <v>70000</v>
      </c>
      <c r="AK163" s="125">
        <v>0</v>
      </c>
      <c r="AL163" s="125">
        <f>Valores!$C$91</f>
        <v>0</v>
      </c>
      <c r="AM163" s="125">
        <f>Valores!C$39*B163</f>
        <v>0</v>
      </c>
      <c r="AN163" s="125">
        <f>IF($F$3="NO",0,224.5)</f>
        <v>224.5</v>
      </c>
      <c r="AO163" s="125">
        <f t="shared" si="23"/>
        <v>70224.5</v>
      </c>
      <c r="AP163" s="125">
        <f>AI163*Valores!$C$72</f>
        <v>-101271.93735999998</v>
      </c>
      <c r="AQ163" s="125">
        <f>IF(AI163&lt;Valores!$E$73,-0.02,IF(AI163&lt;Valores!$F$73,-0.03,-0.04))*AI163</f>
        <v>-27619.61927999999</v>
      </c>
      <c r="AR163" s="125">
        <f>AI163*Valores!$C$75</f>
        <v>-50635.96867999999</v>
      </c>
      <c r="AS163" s="125">
        <f>Valores!$C$102</f>
        <v>-1270.16</v>
      </c>
      <c r="AT163" s="125">
        <f>IF($F$5=0,Valores!$C$103,(Valores!$C$103+$F$5*(Valores!$C$103)))</f>
        <v>-11714</v>
      </c>
      <c r="AU163" s="125">
        <f t="shared" si="26"/>
        <v>798366.7906799999</v>
      </c>
      <c r="AV163" s="125">
        <f t="shared" si="20"/>
        <v>-101271.93735999998</v>
      </c>
      <c r="AW163" s="125">
        <f t="shared" si="27"/>
        <v>-27619.61927999999</v>
      </c>
      <c r="AX163" s="125">
        <f>AI163*Valores!$C$76</f>
        <v>-24857.657351999995</v>
      </c>
      <c r="AY163" s="125">
        <f>AI163*Valores!$C$77</f>
        <v>-2761.9619279999993</v>
      </c>
      <c r="AZ163" s="125">
        <f t="shared" si="24"/>
        <v>834367.3000799998</v>
      </c>
      <c r="BA163" s="125">
        <f>AI163*Valores!$C$79</f>
        <v>147304.63615999997</v>
      </c>
      <c r="BB163" s="125">
        <f>AI163*Valores!$C$80</f>
        <v>64445.77831999999</v>
      </c>
      <c r="BC163" s="125">
        <f>AI163*Valores!$C$81</f>
        <v>9206.539759999998</v>
      </c>
      <c r="BD163" s="125">
        <f>AI163*Valores!$C$83</f>
        <v>32222.889159999995</v>
      </c>
      <c r="BE163" s="125">
        <f>AI163*Valores!$C$85</f>
        <v>49715.31470399999</v>
      </c>
      <c r="BF163" s="125">
        <f>AI163*Valores!$C$84</f>
        <v>5523.9238559999985</v>
      </c>
      <c r="BG163" s="126"/>
      <c r="BH163" s="126">
        <v>45</v>
      </c>
      <c r="BI163" s="123" t="s">
        <v>4</v>
      </c>
    </row>
    <row r="164" spans="1:61" s="110" customFormat="1" ht="11.25" customHeight="1">
      <c r="A164" s="123" t="s">
        <v>411</v>
      </c>
      <c r="B164" s="123">
        <v>1</v>
      </c>
      <c r="C164" s="126">
        <v>157</v>
      </c>
      <c r="D164" s="124" t="s">
        <v>412</v>
      </c>
      <c r="E164" s="192">
        <v>93</v>
      </c>
      <c r="F164" s="125">
        <f>ROUND(E164*Valores!$C$2,2)</f>
        <v>7698.54</v>
      </c>
      <c r="G164" s="192">
        <v>2547</v>
      </c>
      <c r="H164" s="125">
        <f>ROUND(G164*Valores!$C$2,2)</f>
        <v>210840.66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90023.82</v>
      </c>
      <c r="N164" s="125">
        <f t="shared" si="21"/>
        <v>0</v>
      </c>
      <c r="O164" s="125">
        <f>Valores!$C$16</f>
        <v>71528.26</v>
      </c>
      <c r="P164" s="125">
        <f>Valores!$D$5</f>
        <v>42317.14</v>
      </c>
      <c r="Q164" s="125">
        <f>Valores!$C$22</f>
        <v>37751.3</v>
      </c>
      <c r="R164" s="125">
        <f>IF($F$4="NO",Valores!$C$48,Valores!$C$48/2)</f>
        <v>44235.76</v>
      </c>
      <c r="S164" s="125">
        <f>Valores!$C$19</f>
        <v>39374.32</v>
      </c>
      <c r="T164" s="125">
        <f t="shared" si="28"/>
        <v>39374.32</v>
      </c>
      <c r="U164" s="125">
        <v>0</v>
      </c>
      <c r="V164" s="125">
        <v>0</v>
      </c>
      <c r="W164" s="192">
        <v>700</v>
      </c>
      <c r="X164" s="125">
        <f>ROUND(W164*Valores!$C$2,2)</f>
        <v>57946</v>
      </c>
      <c r="Y164" s="125">
        <f>ROUND(SUM(J164,H164,F164,R164)*Valores!$C$3,2)</f>
        <v>39416.24</v>
      </c>
      <c r="Z164" s="125">
        <f>Valores!$C$98</f>
        <v>115888.34</v>
      </c>
      <c r="AA164" s="125">
        <f>Valores!$C$25</f>
        <v>1730.69</v>
      </c>
      <c r="AB164" s="214">
        <v>0</v>
      </c>
      <c r="AC164" s="125">
        <f t="shared" si="22"/>
        <v>0</v>
      </c>
      <c r="AD164" s="125">
        <f>Valores!$C$26</f>
        <v>1730.69</v>
      </c>
      <c r="AE164" s="192">
        <v>94</v>
      </c>
      <c r="AF164" s="125">
        <f>ROUND(AE164*Valores!$C$2,2)</f>
        <v>7781.32</v>
      </c>
      <c r="AG164" s="125">
        <f>ROUND(IF($F$4="NO",Valores!$C$64,Valores!$C$64/2),2)</f>
        <v>19786.28</v>
      </c>
      <c r="AH164" s="125">
        <f>SUM(F164,H164,J164,L164,M164,N164,O164,P164,Q164,R164,T164,U164,V164,X164,Y164,Z164,AA164,AC164,AD164,AF164,AG164)*Valores!$C$104</f>
        <v>78804.93599999999</v>
      </c>
      <c r="AI164" s="125">
        <f t="shared" si="25"/>
        <v>866854.2959999999</v>
      </c>
      <c r="AJ164" s="125">
        <f>Valores!$C$32</f>
        <v>70000</v>
      </c>
      <c r="AK164" s="125">
        <v>0</v>
      </c>
      <c r="AL164" s="125">
        <f>Valores!$C$91</f>
        <v>0</v>
      </c>
      <c r="AM164" s="125">
        <f>Valores!C$39*B164</f>
        <v>0</v>
      </c>
      <c r="AN164" s="125">
        <f>IF($F$3="NO",0,224.5)</f>
        <v>224.5</v>
      </c>
      <c r="AO164" s="125">
        <f t="shared" si="23"/>
        <v>70224.5</v>
      </c>
      <c r="AP164" s="125">
        <f>AI164*Valores!$C$72</f>
        <v>-95353.97255999998</v>
      </c>
      <c r="AQ164" s="125">
        <f>IF(AI164&lt;Valores!$E$73,-0.02,IF(AI164&lt;Valores!$F$73,-0.03,-0.04))*AI164</f>
        <v>-26005.628879999993</v>
      </c>
      <c r="AR164" s="125">
        <f>AI164*Valores!$C$75</f>
        <v>-47676.98627999999</v>
      </c>
      <c r="AS164" s="125">
        <f>Valores!$C$102</f>
        <v>-1270.16</v>
      </c>
      <c r="AT164" s="125">
        <f>IF($F$5=0,Valores!$C$103,(Valores!$C$103+$F$5*(Valores!$C$103)))</f>
        <v>-11714</v>
      </c>
      <c r="AU164" s="125">
        <f t="shared" si="26"/>
        <v>755058.0482799999</v>
      </c>
      <c r="AV164" s="125">
        <f t="shared" si="20"/>
        <v>-95353.97255999998</v>
      </c>
      <c r="AW164" s="125">
        <f t="shared" si="27"/>
        <v>-26005.628879999993</v>
      </c>
      <c r="AX164" s="125">
        <f>AI164*Valores!$C$76</f>
        <v>-23405.065991999996</v>
      </c>
      <c r="AY164" s="125">
        <f>AI164*Valores!$C$77</f>
        <v>-2600.5628879999995</v>
      </c>
      <c r="AZ164" s="125">
        <f t="shared" si="24"/>
        <v>789713.5656799999</v>
      </c>
      <c r="BA164" s="125">
        <f>AI164*Valores!$C$79</f>
        <v>138696.68735999998</v>
      </c>
      <c r="BB164" s="125">
        <f>AI164*Valores!$C$80</f>
        <v>60679.80072</v>
      </c>
      <c r="BC164" s="125">
        <f>AI164*Valores!$C$81</f>
        <v>8668.542959999999</v>
      </c>
      <c r="BD164" s="125">
        <f>AI164*Valores!$C$83</f>
        <v>30339.90036</v>
      </c>
      <c r="BE164" s="125">
        <f>AI164*Valores!$C$85</f>
        <v>46810.13198399999</v>
      </c>
      <c r="BF164" s="125">
        <f>AI164*Valores!$C$84</f>
        <v>5201.125775999999</v>
      </c>
      <c r="BG164" s="126"/>
      <c r="BH164" s="126">
        <v>45</v>
      </c>
      <c r="BI164" s="123" t="s">
        <v>4</v>
      </c>
    </row>
    <row r="165" spans="1:61" s="110" customFormat="1" ht="11.25" customHeight="1">
      <c r="A165" s="123" t="s">
        <v>413</v>
      </c>
      <c r="B165" s="123">
        <v>1</v>
      </c>
      <c r="C165" s="126">
        <v>158</v>
      </c>
      <c r="D165" s="124" t="s">
        <v>414</v>
      </c>
      <c r="E165" s="192">
        <v>89</v>
      </c>
      <c r="F165" s="125">
        <f>ROUND(E165*Valores!$C$2,2)</f>
        <v>7367.42</v>
      </c>
      <c r="G165" s="192">
        <v>2251</v>
      </c>
      <c r="H165" s="125">
        <f>ROUND(G165*Valores!$C$2,2)</f>
        <v>186337.78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83815.32</v>
      </c>
      <c r="N165" s="125">
        <f t="shared" si="21"/>
        <v>0</v>
      </c>
      <c r="O165" s="125">
        <f>Valores!$C$16</f>
        <v>71528.26</v>
      </c>
      <c r="P165" s="125">
        <f>Valores!$D$5</f>
        <v>42317.14</v>
      </c>
      <c r="Q165" s="125">
        <f>Valores!$C$22</f>
        <v>37751.3</v>
      </c>
      <c r="R165" s="125">
        <f>IF($F$4="NO",Valores!$C$48,Valores!$C$48/2)</f>
        <v>44235.76</v>
      </c>
      <c r="S165" s="125">
        <f>Valores!$C$19</f>
        <v>39374.32</v>
      </c>
      <c r="T165" s="125">
        <f t="shared" si="28"/>
        <v>39374.32</v>
      </c>
      <c r="U165" s="125">
        <v>0</v>
      </c>
      <c r="V165" s="125">
        <v>0</v>
      </c>
      <c r="W165" s="192">
        <v>700</v>
      </c>
      <c r="X165" s="125">
        <f>ROUND(W165*Valores!$C$2,2)</f>
        <v>57946</v>
      </c>
      <c r="Y165" s="125">
        <f>ROUND(SUM(J165,H165,F165,R165)*Valores!$C$3,2)</f>
        <v>35691.14</v>
      </c>
      <c r="Z165" s="125">
        <f>Valores!$C$98</f>
        <v>115888.34</v>
      </c>
      <c r="AA165" s="125">
        <f>Valores!$C$25</f>
        <v>1730.69</v>
      </c>
      <c r="AB165" s="214">
        <v>0</v>
      </c>
      <c r="AC165" s="125">
        <f t="shared" si="22"/>
        <v>0</v>
      </c>
      <c r="AD165" s="125">
        <f>Valores!$C$26</f>
        <v>1730.69</v>
      </c>
      <c r="AE165" s="192">
        <v>94</v>
      </c>
      <c r="AF165" s="125">
        <f>ROUND(AE165*Valores!$C$2,2)</f>
        <v>7781.32</v>
      </c>
      <c r="AG165" s="125">
        <f>ROUND(IF($F$4="NO",Valores!$C$64,Valores!$C$64/2),2)</f>
        <v>19786.28</v>
      </c>
      <c r="AH165" s="125">
        <f>SUM(F165,H165,J165,L165,M165,N165,O165,P165,Q165,R165,T165,U165,V165,X165,Y165,Z165,AA165,AC165,AD165,AF165,AG165)*Valores!$C$104</f>
        <v>75328.17599999999</v>
      </c>
      <c r="AI165" s="125">
        <f t="shared" si="25"/>
        <v>828609.9359999999</v>
      </c>
      <c r="AJ165" s="125">
        <f>Valores!$C$32</f>
        <v>70000</v>
      </c>
      <c r="AK165" s="125">
        <v>0</v>
      </c>
      <c r="AL165" s="125">
        <f>Valores!$C$91</f>
        <v>0</v>
      </c>
      <c r="AM165" s="125">
        <f>Valores!C$39*B165</f>
        <v>0</v>
      </c>
      <c r="AN165" s="125">
        <f>IF($F$3="NO",0,224.5)</f>
        <v>224.5</v>
      </c>
      <c r="AO165" s="125">
        <f t="shared" si="23"/>
        <v>70224.5</v>
      </c>
      <c r="AP165" s="125">
        <f>AI165*Valores!$C$72</f>
        <v>-91147.09295999998</v>
      </c>
      <c r="AQ165" s="125">
        <f>IF(AI165&lt;Valores!$E$73,-0.02,IF(AI165&lt;Valores!$F$73,-0.03,-0.04))*AI165</f>
        <v>-24858.298079999997</v>
      </c>
      <c r="AR165" s="125">
        <f>AI165*Valores!$C$75</f>
        <v>-45573.54647999999</v>
      </c>
      <c r="AS165" s="125">
        <f>Valores!$C$102</f>
        <v>-1270.16</v>
      </c>
      <c r="AT165" s="125">
        <f>IF($F$5=0,Valores!$C$103,(Valores!$C$103+$F$5*(Valores!$C$103)))</f>
        <v>-11714</v>
      </c>
      <c r="AU165" s="125">
        <f t="shared" si="26"/>
        <v>724271.3384799999</v>
      </c>
      <c r="AV165" s="125">
        <f t="shared" si="20"/>
        <v>-91147.09295999998</v>
      </c>
      <c r="AW165" s="125">
        <f t="shared" si="27"/>
        <v>-24858.298079999997</v>
      </c>
      <c r="AX165" s="125">
        <f>AI165*Valores!$C$76</f>
        <v>-22372.468271999995</v>
      </c>
      <c r="AY165" s="125">
        <f>AI165*Valores!$C$77</f>
        <v>-2485.8298079999995</v>
      </c>
      <c r="AZ165" s="125">
        <f t="shared" si="24"/>
        <v>757970.7468799999</v>
      </c>
      <c r="BA165" s="125">
        <f>AI165*Valores!$C$79</f>
        <v>132577.58975999997</v>
      </c>
      <c r="BB165" s="125">
        <f>AI165*Valores!$C$80</f>
        <v>58002.695519999994</v>
      </c>
      <c r="BC165" s="125">
        <f>AI165*Valores!$C$81</f>
        <v>8286.099359999998</v>
      </c>
      <c r="BD165" s="125">
        <f>AI165*Valores!$C$83</f>
        <v>29001.347759999997</v>
      </c>
      <c r="BE165" s="125">
        <f>AI165*Valores!$C$85</f>
        <v>44744.93654399999</v>
      </c>
      <c r="BF165" s="125">
        <f>AI165*Valores!$C$84</f>
        <v>4971.659615999999</v>
      </c>
      <c r="BG165" s="126"/>
      <c r="BH165" s="126">
        <v>45</v>
      </c>
      <c r="BI165" s="123" t="s">
        <v>4</v>
      </c>
    </row>
    <row r="166" spans="1:61" s="110" customFormat="1" ht="11.25" customHeight="1">
      <c r="A166" s="123" t="s">
        <v>415</v>
      </c>
      <c r="B166" s="123">
        <v>1</v>
      </c>
      <c r="C166" s="126">
        <v>159</v>
      </c>
      <c r="D166" s="124" t="s">
        <v>416</v>
      </c>
      <c r="E166" s="192">
        <v>83</v>
      </c>
      <c r="F166" s="125">
        <f>ROUND(E166*Valores!$C$2,2)</f>
        <v>6870.74</v>
      </c>
      <c r="G166" s="192">
        <v>2352</v>
      </c>
      <c r="H166" s="125">
        <f>ROUND(G166*Valores!$C$2,2)</f>
        <v>194698.56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85781.35</v>
      </c>
      <c r="N166" s="125">
        <f t="shared" si="21"/>
        <v>0</v>
      </c>
      <c r="O166" s="125">
        <f>Valores!$C$16</f>
        <v>71528.26</v>
      </c>
      <c r="P166" s="125">
        <f>Valores!$D$5</f>
        <v>42317.14</v>
      </c>
      <c r="Q166" s="125">
        <v>0</v>
      </c>
      <c r="R166" s="125">
        <f>IF($F$4="NO",Valores!$C$48,Valores!$C$48/2)</f>
        <v>44235.76</v>
      </c>
      <c r="S166" s="125">
        <f>Valores!$C$19</f>
        <v>39374.32</v>
      </c>
      <c r="T166" s="125">
        <f t="shared" si="28"/>
        <v>39374.32</v>
      </c>
      <c r="U166" s="125">
        <v>0</v>
      </c>
      <c r="V166" s="125">
        <v>0</v>
      </c>
      <c r="W166" s="192">
        <v>700</v>
      </c>
      <c r="X166" s="125">
        <f>ROUND(W166*Valores!$C$2,2)</f>
        <v>57946</v>
      </c>
      <c r="Y166" s="125">
        <f>ROUND(SUM(J166,H166,F166,R166)*Valores!$C$3,2)</f>
        <v>36870.76</v>
      </c>
      <c r="Z166" s="125">
        <f>Valores!$C$98</f>
        <v>115888.34</v>
      </c>
      <c r="AA166" s="125">
        <f>Valores!$C$25</f>
        <v>1730.69</v>
      </c>
      <c r="AB166" s="214">
        <v>0</v>
      </c>
      <c r="AC166" s="125">
        <f t="shared" si="22"/>
        <v>0</v>
      </c>
      <c r="AD166" s="125">
        <f>Valores!$C$26</f>
        <v>1730.69</v>
      </c>
      <c r="AE166" s="192">
        <v>94</v>
      </c>
      <c r="AF166" s="125">
        <f>ROUND(AE166*Valores!$C$2,2)</f>
        <v>7781.32</v>
      </c>
      <c r="AG166" s="125">
        <f>ROUND(IF($F$4="NO",Valores!$C$64,Valores!$C$64/2),2)</f>
        <v>19786.28</v>
      </c>
      <c r="AH166" s="125">
        <f>SUM(F166,H166,J166,L166,M166,N166,O166,P166,Q166,R166,T166,U166,V166,X166,Y166,Z166,AA166,AC166,AD166,AF166,AG166)*Valores!$C$104</f>
        <v>72654.021</v>
      </c>
      <c r="AI166" s="125">
        <f t="shared" si="25"/>
        <v>799194.2309999999</v>
      </c>
      <c r="AJ166" s="125">
        <f>Valores!$C$32</f>
        <v>70000</v>
      </c>
      <c r="AK166" s="125">
        <v>0</v>
      </c>
      <c r="AL166" s="125">
        <f>Valores!$C$91</f>
        <v>0</v>
      </c>
      <c r="AM166" s="125">
        <f>Valores!C$39*B166</f>
        <v>0</v>
      </c>
      <c r="AN166" s="125">
        <v>0</v>
      </c>
      <c r="AO166" s="125">
        <f t="shared" si="23"/>
        <v>70000</v>
      </c>
      <c r="AP166" s="125">
        <f>AI166*Valores!$C$72</f>
        <v>-87911.36540999998</v>
      </c>
      <c r="AQ166" s="125">
        <f>IF(AI166&lt;Valores!$E$73,-0.02,IF(AI166&lt;Valores!$F$73,-0.03,-0.04))*AI166</f>
        <v>-23975.826929999996</v>
      </c>
      <c r="AR166" s="125">
        <f>AI166*Valores!$C$75</f>
        <v>-43955.68270499999</v>
      </c>
      <c r="AS166" s="125">
        <f>Valores!$C$102</f>
        <v>-1270.16</v>
      </c>
      <c r="AT166" s="125">
        <f>IF($F$5=0,Valores!$C$103,(Valores!$C$103+$F$5*(Valores!$C$103)))</f>
        <v>-11714</v>
      </c>
      <c r="AU166" s="125">
        <f t="shared" si="26"/>
        <v>700367.1959549999</v>
      </c>
      <c r="AV166" s="125">
        <f t="shared" si="20"/>
        <v>-87911.36540999998</v>
      </c>
      <c r="AW166" s="125">
        <f t="shared" si="27"/>
        <v>-23975.826929999996</v>
      </c>
      <c r="AX166" s="125">
        <f>AI166*Valores!$C$76</f>
        <v>-21578.244237</v>
      </c>
      <c r="AY166" s="125">
        <f>AI166*Valores!$C$77</f>
        <v>-2397.582693</v>
      </c>
      <c r="AZ166" s="125">
        <f t="shared" si="24"/>
        <v>733331.2117299999</v>
      </c>
      <c r="BA166" s="125">
        <f>AI166*Valores!$C$79</f>
        <v>127871.07695999999</v>
      </c>
      <c r="BB166" s="125">
        <f>AI166*Valores!$C$80</f>
        <v>55943.59617</v>
      </c>
      <c r="BC166" s="125">
        <f>AI166*Valores!$C$81</f>
        <v>7991.942309999999</v>
      </c>
      <c r="BD166" s="125">
        <f>AI166*Valores!$C$83</f>
        <v>27971.798085</v>
      </c>
      <c r="BE166" s="125">
        <f>AI166*Valores!$C$85</f>
        <v>43156.488474</v>
      </c>
      <c r="BF166" s="125">
        <f>AI166*Valores!$C$84</f>
        <v>4795.165386</v>
      </c>
      <c r="BG166" s="126"/>
      <c r="BH166" s="126">
        <v>45</v>
      </c>
      <c r="BI166" s="123" t="s">
        <v>8</v>
      </c>
    </row>
    <row r="167" spans="1:61" s="110" customFormat="1" ht="11.25" customHeight="1">
      <c r="A167" s="123" t="s">
        <v>417</v>
      </c>
      <c r="B167" s="123">
        <v>1</v>
      </c>
      <c r="C167" s="126">
        <v>160</v>
      </c>
      <c r="D167" s="124" t="s">
        <v>418</v>
      </c>
      <c r="E167" s="192">
        <v>83</v>
      </c>
      <c r="F167" s="125">
        <f>ROUND(E167*Valores!$C$2,2)</f>
        <v>6870.74</v>
      </c>
      <c r="G167" s="192">
        <v>2092</v>
      </c>
      <c r="H167" s="125">
        <f>ROUND(G167*Valores!$C$2,2)</f>
        <v>173175.76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80400.65</v>
      </c>
      <c r="N167" s="125">
        <f t="shared" si="21"/>
        <v>0</v>
      </c>
      <c r="O167" s="125">
        <f>Valores!$C$16</f>
        <v>71528.26</v>
      </c>
      <c r="P167" s="125">
        <f>Valores!$D$5</f>
        <v>42317.14</v>
      </c>
      <c r="Q167" s="125">
        <v>0</v>
      </c>
      <c r="R167" s="125">
        <f>IF($F$4="NO",Valores!$C$48,Valores!$C$48/2)</f>
        <v>44235.76</v>
      </c>
      <c r="S167" s="125">
        <f>Valores!$C$19</f>
        <v>39374.32</v>
      </c>
      <c r="T167" s="125">
        <f t="shared" si="28"/>
        <v>39374.32</v>
      </c>
      <c r="U167" s="125">
        <v>0</v>
      </c>
      <c r="V167" s="125">
        <v>0</v>
      </c>
      <c r="W167" s="192">
        <v>700</v>
      </c>
      <c r="X167" s="125">
        <f>ROUND(W167*Valores!$C$2,2)</f>
        <v>57946</v>
      </c>
      <c r="Y167" s="125">
        <f>ROUND(SUM(J167,H167,F167,R167)*Valores!$C$3,2)</f>
        <v>33642.34</v>
      </c>
      <c r="Z167" s="125">
        <f>Valores!$C$98</f>
        <v>115888.34</v>
      </c>
      <c r="AA167" s="125">
        <f>Valores!$C$25</f>
        <v>1730.69</v>
      </c>
      <c r="AB167" s="214">
        <v>0</v>
      </c>
      <c r="AC167" s="125">
        <f t="shared" si="22"/>
        <v>0</v>
      </c>
      <c r="AD167" s="125">
        <f>Valores!$C$26</f>
        <v>1730.69</v>
      </c>
      <c r="AE167" s="192">
        <v>94</v>
      </c>
      <c r="AF167" s="125">
        <f>ROUND(AE167*Valores!$C$2,2)</f>
        <v>7781.32</v>
      </c>
      <c r="AG167" s="125">
        <f>ROUND(IF($F$4="NO",Valores!$C$64,Valores!$C$64/2),2)</f>
        <v>19786.28</v>
      </c>
      <c r="AH167" s="125">
        <f>SUM(F167,H167,J167,L167,M167,N167,O167,P167,Q167,R167,T167,U167,V167,X167,Y167,Z167,AA167,AC167,AD167,AF167,AG167)*Valores!$C$104</f>
        <v>69640.82899999998</v>
      </c>
      <c r="AI167" s="125">
        <f t="shared" si="25"/>
        <v>766049.1189999998</v>
      </c>
      <c r="AJ167" s="125">
        <f>Valores!$C$32</f>
        <v>70000</v>
      </c>
      <c r="AK167" s="125">
        <v>0</v>
      </c>
      <c r="AL167" s="125">
        <f>Valores!$C$91</f>
        <v>0</v>
      </c>
      <c r="AM167" s="125">
        <f>Valores!C$39*B167</f>
        <v>0</v>
      </c>
      <c r="AN167" s="125">
        <v>0</v>
      </c>
      <c r="AO167" s="125">
        <f t="shared" si="23"/>
        <v>70000</v>
      </c>
      <c r="AP167" s="125">
        <f>AI167*Valores!$C$72</f>
        <v>-84265.40308999998</v>
      </c>
      <c r="AQ167" s="125">
        <f>IF(AI167&lt;Valores!$E$73,-0.02,IF(AI167&lt;Valores!$F$73,-0.03,-0.04))*AI167</f>
        <v>-22981.473569999995</v>
      </c>
      <c r="AR167" s="125">
        <f>AI167*Valores!$C$75</f>
        <v>-42132.70154499999</v>
      </c>
      <c r="AS167" s="125">
        <f>Valores!$C$102</f>
        <v>-1270.16</v>
      </c>
      <c r="AT167" s="125">
        <f>IF($F$5=0,Valores!$C$103,(Valores!$C$103+$F$5*(Valores!$C$103)))</f>
        <v>-11714</v>
      </c>
      <c r="AU167" s="125">
        <f t="shared" si="26"/>
        <v>673685.3807949999</v>
      </c>
      <c r="AV167" s="125">
        <f t="shared" si="20"/>
        <v>-84265.40308999998</v>
      </c>
      <c r="AW167" s="125">
        <f t="shared" si="27"/>
        <v>-22981.473569999995</v>
      </c>
      <c r="AX167" s="125">
        <f>AI167*Valores!$C$76</f>
        <v>-20683.326212999997</v>
      </c>
      <c r="AY167" s="125">
        <f>AI167*Valores!$C$77</f>
        <v>-2298.1473569999994</v>
      </c>
      <c r="AZ167" s="125">
        <f t="shared" si="24"/>
        <v>705820.7687699998</v>
      </c>
      <c r="BA167" s="125">
        <f>AI167*Valores!$C$79</f>
        <v>122567.85903999998</v>
      </c>
      <c r="BB167" s="125">
        <f>AI167*Valores!$C$80</f>
        <v>53623.43832999999</v>
      </c>
      <c r="BC167" s="125">
        <f>AI167*Valores!$C$81</f>
        <v>7660.491189999999</v>
      </c>
      <c r="BD167" s="125">
        <f>AI167*Valores!$C$83</f>
        <v>26811.719164999995</v>
      </c>
      <c r="BE167" s="125">
        <f>AI167*Valores!$C$85</f>
        <v>41366.65242599999</v>
      </c>
      <c r="BF167" s="125">
        <f>AI167*Valores!$C$84</f>
        <v>4596.294713999999</v>
      </c>
      <c r="BG167" s="126"/>
      <c r="BH167" s="126">
        <v>45</v>
      </c>
      <c r="BI167" s="123" t="s">
        <v>8</v>
      </c>
    </row>
    <row r="168" spans="1:61" s="110" customFormat="1" ht="11.25" customHeight="1">
      <c r="A168" s="123" t="s">
        <v>419</v>
      </c>
      <c r="B168" s="123">
        <v>1</v>
      </c>
      <c r="C168" s="126">
        <v>161</v>
      </c>
      <c r="D168" s="124" t="s">
        <v>420</v>
      </c>
      <c r="E168" s="192">
        <v>82</v>
      </c>
      <c r="F168" s="125">
        <f>ROUND(E168*Valores!$C$2,2)</f>
        <v>6787.96</v>
      </c>
      <c r="G168" s="192">
        <v>1941</v>
      </c>
      <c r="H168" s="125">
        <f>ROUND(G168*Valores!$C$2,2)</f>
        <v>160675.98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77255.01</v>
      </c>
      <c r="N168" s="125">
        <f t="shared" si="21"/>
        <v>0</v>
      </c>
      <c r="O168" s="125">
        <f>Valores!$C$16</f>
        <v>71528.26</v>
      </c>
      <c r="P168" s="125">
        <f>Valores!$D$5</f>
        <v>42317.14</v>
      </c>
      <c r="Q168" s="125">
        <v>0</v>
      </c>
      <c r="R168" s="125">
        <f>IF($F$4="NO",Valores!$C$48,Valores!$C$48/2)</f>
        <v>44235.76</v>
      </c>
      <c r="S168" s="125">
        <f>Valores!$C$19</f>
        <v>39374.32</v>
      </c>
      <c r="T168" s="125">
        <f t="shared" si="28"/>
        <v>39374.32</v>
      </c>
      <c r="U168" s="125">
        <v>0</v>
      </c>
      <c r="V168" s="125">
        <v>0</v>
      </c>
      <c r="W168" s="192">
        <v>700</v>
      </c>
      <c r="X168" s="125">
        <f>ROUND(W168*Valores!$C$2,2)</f>
        <v>57946</v>
      </c>
      <c r="Y168" s="125">
        <f>ROUND(SUM(J168,H168,F168,R168)*Valores!$C$3,2)</f>
        <v>31754.96</v>
      </c>
      <c r="Z168" s="125">
        <f>Valores!$C$98</f>
        <v>115888.34</v>
      </c>
      <c r="AA168" s="125">
        <f>Valores!$C$25</f>
        <v>1730.69</v>
      </c>
      <c r="AB168" s="214">
        <v>0</v>
      </c>
      <c r="AC168" s="125">
        <f t="shared" si="22"/>
        <v>0</v>
      </c>
      <c r="AD168" s="125">
        <f>Valores!$C$26</f>
        <v>1730.69</v>
      </c>
      <c r="AE168" s="192">
        <v>94</v>
      </c>
      <c r="AF168" s="125">
        <f>ROUND(AE168*Valores!$C$2,2)</f>
        <v>7781.32</v>
      </c>
      <c r="AG168" s="125">
        <f>ROUND(IF($F$4="NO",Valores!$C$64,Valores!$C$64/2),2)</f>
        <v>19786.28</v>
      </c>
      <c r="AH168" s="125">
        <f>SUM(F168,H168,J168,L168,M168,N168,O168,P168,Q168,R168,T168,U168,V168,X168,Y168,Z168,AA168,AC168,AD168,AF168,AG168)*Valores!$C$104</f>
        <v>67879.271</v>
      </c>
      <c r="AI168" s="125">
        <f t="shared" si="25"/>
        <v>746671.9809999998</v>
      </c>
      <c r="AJ168" s="125">
        <f>Valores!$C$32</f>
        <v>70000</v>
      </c>
      <c r="AK168" s="125">
        <v>0</v>
      </c>
      <c r="AL168" s="125">
        <f>Valores!$C$91</f>
        <v>0</v>
      </c>
      <c r="AM168" s="125">
        <f>Valores!C$39*B168</f>
        <v>0</v>
      </c>
      <c r="AN168" s="125">
        <v>0</v>
      </c>
      <c r="AO168" s="125">
        <f t="shared" si="23"/>
        <v>70000</v>
      </c>
      <c r="AP168" s="125">
        <f>AI168*Valores!$C$72</f>
        <v>-82133.91790999997</v>
      </c>
      <c r="AQ168" s="125">
        <f>IF(AI168&lt;Valores!$E$73,-0.02,IF(AI168&lt;Valores!$F$73,-0.03,-0.04))*AI168</f>
        <v>-14933.439619999996</v>
      </c>
      <c r="AR168" s="125">
        <f>AI168*Valores!$C$75</f>
        <v>-41066.95895499999</v>
      </c>
      <c r="AS168" s="125">
        <f>Valores!$C$102</f>
        <v>-1270.16</v>
      </c>
      <c r="AT168" s="125">
        <f>IF($F$5=0,Valores!$C$103,(Valores!$C$103+$F$5*(Valores!$C$103)))</f>
        <v>-11714</v>
      </c>
      <c r="AU168" s="125">
        <f t="shared" si="26"/>
        <v>665553.5045149998</v>
      </c>
      <c r="AV168" s="125">
        <f t="shared" si="20"/>
        <v>-82133.91790999997</v>
      </c>
      <c r="AW168" s="125">
        <f t="shared" si="27"/>
        <v>-14933.439619999996</v>
      </c>
      <c r="AX168" s="125">
        <f>AI168*Valores!$C$76</f>
        <v>-20160.143486999994</v>
      </c>
      <c r="AY168" s="125">
        <f>AI168*Valores!$C$77</f>
        <v>-2240.0159429999994</v>
      </c>
      <c r="AZ168" s="125">
        <f t="shared" si="24"/>
        <v>697204.4640399999</v>
      </c>
      <c r="BA168" s="125">
        <f>AI168*Valores!$C$79</f>
        <v>119467.51695999996</v>
      </c>
      <c r="BB168" s="125">
        <f>AI168*Valores!$C$80</f>
        <v>52267.03866999999</v>
      </c>
      <c r="BC168" s="125">
        <f>AI168*Valores!$C$81</f>
        <v>7466.719809999998</v>
      </c>
      <c r="BD168" s="125">
        <f>AI168*Valores!$C$83</f>
        <v>26133.519334999994</v>
      </c>
      <c r="BE168" s="125">
        <f>AI168*Valores!$C$85</f>
        <v>40320.28697399999</v>
      </c>
      <c r="BF168" s="125">
        <f>AI168*Valores!$C$84</f>
        <v>4480.031885999999</v>
      </c>
      <c r="BG168" s="126"/>
      <c r="BH168" s="126">
        <v>45</v>
      </c>
      <c r="BI168" s="123" t="s">
        <v>8</v>
      </c>
    </row>
    <row r="169" spans="1:61" s="110" customFormat="1" ht="11.25" customHeight="1">
      <c r="A169" s="123" t="s">
        <v>421</v>
      </c>
      <c r="B169" s="123">
        <v>1</v>
      </c>
      <c r="C169" s="126">
        <v>162</v>
      </c>
      <c r="D169" s="124" t="s">
        <v>422</v>
      </c>
      <c r="E169" s="192">
        <v>79</v>
      </c>
      <c r="F169" s="125">
        <f>ROUND(E169*Valores!$C$2,2)</f>
        <v>6539.62</v>
      </c>
      <c r="G169" s="192">
        <v>2161</v>
      </c>
      <c r="H169" s="125">
        <f>ROUND(G169*Valores!$C$2,2)</f>
        <v>178887.58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81745.82</v>
      </c>
      <c r="N169" s="125">
        <f t="shared" si="21"/>
        <v>0</v>
      </c>
      <c r="O169" s="125">
        <f>Valores!$C$16</f>
        <v>71528.26</v>
      </c>
      <c r="P169" s="125">
        <f>Valores!$D$5</f>
        <v>42317.14</v>
      </c>
      <c r="Q169" s="125">
        <v>0</v>
      </c>
      <c r="R169" s="125">
        <f>IF($F$4="NO",Valores!$C$48,Valores!$C$48/2)</f>
        <v>44235.76</v>
      </c>
      <c r="S169" s="125">
        <f>Valores!$C$19</f>
        <v>39374.32</v>
      </c>
      <c r="T169" s="125">
        <f t="shared" si="28"/>
        <v>39374.32</v>
      </c>
      <c r="U169" s="125">
        <v>0</v>
      </c>
      <c r="V169" s="125">
        <v>0</v>
      </c>
      <c r="W169" s="192">
        <v>700</v>
      </c>
      <c r="X169" s="125">
        <f>ROUND(W169*Valores!$C$2,2)</f>
        <v>57946</v>
      </c>
      <c r="Y169" s="125">
        <f>ROUND(SUM(J169,H169,F169,R169)*Valores!$C$3,2)</f>
        <v>34449.44</v>
      </c>
      <c r="Z169" s="125">
        <f>Valores!$C$98</f>
        <v>115888.34</v>
      </c>
      <c r="AA169" s="125">
        <f>Valores!$C$25</f>
        <v>1730.69</v>
      </c>
      <c r="AB169" s="214">
        <v>0</v>
      </c>
      <c r="AC169" s="125">
        <f t="shared" si="22"/>
        <v>0</v>
      </c>
      <c r="AD169" s="125">
        <f>Valores!$C$26</f>
        <v>1730.69</v>
      </c>
      <c r="AE169" s="192">
        <v>94</v>
      </c>
      <c r="AF169" s="125">
        <f>ROUND(AE169*Valores!$C$2,2)</f>
        <v>7781.32</v>
      </c>
      <c r="AG169" s="125">
        <f>ROUND(IF($F$4="NO",Valores!$C$64,Valores!$C$64/2),2)</f>
        <v>19786.28</v>
      </c>
      <c r="AH169" s="125">
        <f>SUM(F169,H169,J169,L169,M169,N169,O169,P169,Q169,R169,T169,U169,V169,X169,Y169,Z169,AA169,AC169,AD169,AF169,AG169)*Valores!$C$104</f>
        <v>70394.12599999999</v>
      </c>
      <c r="AI169" s="125">
        <f t="shared" si="25"/>
        <v>774335.3859999999</v>
      </c>
      <c r="AJ169" s="125">
        <f>Valores!$C$32</f>
        <v>70000</v>
      </c>
      <c r="AK169" s="125">
        <v>0</v>
      </c>
      <c r="AL169" s="125">
        <f>Valores!$C$91</f>
        <v>0</v>
      </c>
      <c r="AM169" s="125">
        <f>Valores!C$39*B169</f>
        <v>0</v>
      </c>
      <c r="AN169" s="125">
        <v>0</v>
      </c>
      <c r="AO169" s="125">
        <f t="shared" si="23"/>
        <v>70000</v>
      </c>
      <c r="AP169" s="125">
        <f>AI169*Valores!$C$72</f>
        <v>-85176.89245999999</v>
      </c>
      <c r="AQ169" s="125">
        <f>IF(AI169&lt;Valores!$E$73,-0.02,IF(AI169&lt;Valores!$F$73,-0.03,-0.04))*AI169</f>
        <v>-23230.061579999998</v>
      </c>
      <c r="AR169" s="125">
        <f>AI169*Valores!$C$75</f>
        <v>-42588.446229999994</v>
      </c>
      <c r="AS169" s="125">
        <f>Valores!$C$102</f>
        <v>-1270.16</v>
      </c>
      <c r="AT169" s="125">
        <f>IF($F$5=0,Valores!$C$103,(Valores!$C$103+$F$5*(Valores!$C$103)))</f>
        <v>-11714</v>
      </c>
      <c r="AU169" s="125">
        <f t="shared" si="26"/>
        <v>680355.8257299999</v>
      </c>
      <c r="AV169" s="125">
        <f t="shared" si="20"/>
        <v>-85176.89245999999</v>
      </c>
      <c r="AW169" s="125">
        <f t="shared" si="27"/>
        <v>-23230.061579999998</v>
      </c>
      <c r="AX169" s="125">
        <f>AI169*Valores!$C$76</f>
        <v>-20907.055421999998</v>
      </c>
      <c r="AY169" s="125">
        <f>AI169*Valores!$C$77</f>
        <v>-2323.0061579999997</v>
      </c>
      <c r="AZ169" s="125">
        <f t="shared" si="24"/>
        <v>712698.37038</v>
      </c>
      <c r="BA169" s="125">
        <f>AI169*Valores!$C$79</f>
        <v>123893.66175999999</v>
      </c>
      <c r="BB169" s="125">
        <f>AI169*Valores!$C$80</f>
        <v>54203.47702</v>
      </c>
      <c r="BC169" s="125">
        <f>AI169*Valores!$C$81</f>
        <v>7743.353859999999</v>
      </c>
      <c r="BD169" s="125">
        <f>AI169*Valores!$C$83</f>
        <v>27101.73851</v>
      </c>
      <c r="BE169" s="125">
        <f>AI169*Valores!$C$85</f>
        <v>41814.110843999995</v>
      </c>
      <c r="BF169" s="125">
        <f>AI169*Valores!$C$84</f>
        <v>4646.012315999999</v>
      </c>
      <c r="BG169" s="126"/>
      <c r="BH169" s="126">
        <v>45</v>
      </c>
      <c r="BI169" s="123" t="s">
        <v>8</v>
      </c>
    </row>
    <row r="170" spans="1:61" s="110" customFormat="1" ht="11.25" customHeight="1">
      <c r="A170" s="123" t="s">
        <v>423</v>
      </c>
      <c r="B170" s="123">
        <v>1</v>
      </c>
      <c r="C170" s="126">
        <v>163</v>
      </c>
      <c r="D170" s="124" t="s">
        <v>424</v>
      </c>
      <c r="E170" s="192">
        <v>98</v>
      </c>
      <c r="F170" s="125">
        <f>ROUND(E170*Valores!$C$2,2)</f>
        <v>8112.44</v>
      </c>
      <c r="G170" s="192">
        <v>2686</v>
      </c>
      <c r="H170" s="125">
        <f>ROUND(G170*Valores!$C$2,2)</f>
        <v>222347.08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93003.9</v>
      </c>
      <c r="N170" s="125">
        <f t="shared" si="21"/>
        <v>0</v>
      </c>
      <c r="O170" s="125">
        <f>Valores!$C$16</f>
        <v>71528.26</v>
      </c>
      <c r="P170" s="125">
        <f>Valores!$D$5</f>
        <v>42317.14</v>
      </c>
      <c r="Q170" s="125">
        <v>0</v>
      </c>
      <c r="R170" s="125">
        <f>IF($F$4="NO",Valores!$C$48,Valores!$C$48/2)</f>
        <v>44235.76</v>
      </c>
      <c r="S170" s="125">
        <f>Valores!$C$19</f>
        <v>39374.32</v>
      </c>
      <c r="T170" s="125">
        <f t="shared" si="28"/>
        <v>39374.32</v>
      </c>
      <c r="U170" s="125">
        <v>0</v>
      </c>
      <c r="V170" s="125">
        <v>0</v>
      </c>
      <c r="W170" s="192">
        <v>700</v>
      </c>
      <c r="X170" s="125">
        <f>ROUND(W170*Valores!$C$2,2)</f>
        <v>57946</v>
      </c>
      <c r="Y170" s="125">
        <f>ROUND(SUM(J170,H170,F170,R170)*Valores!$C$3,2)</f>
        <v>41204.29</v>
      </c>
      <c r="Z170" s="125">
        <f>Valores!$C$98</f>
        <v>115888.34</v>
      </c>
      <c r="AA170" s="125">
        <f>Valores!$C$25</f>
        <v>1730.69</v>
      </c>
      <c r="AB170" s="214">
        <v>0</v>
      </c>
      <c r="AC170" s="125">
        <f t="shared" si="22"/>
        <v>0</v>
      </c>
      <c r="AD170" s="125">
        <f>Valores!$C$26</f>
        <v>1730.69</v>
      </c>
      <c r="AE170" s="192">
        <v>0</v>
      </c>
      <c r="AF170" s="125">
        <f>ROUND(AE170*Valores!$C$2,2)</f>
        <v>0</v>
      </c>
      <c r="AG170" s="125">
        <f>ROUND(IF($F$4="NO",Valores!$C$64,Valores!$C$64/2),2)</f>
        <v>19786.28</v>
      </c>
      <c r="AH170" s="125">
        <f>SUM(F170,H170,J170,L170,M170,N170,O170,P170,Q170,R170,T170,U170,V170,X170,Y170,Z170,AA170,AC170,AD170,AF170,AG170)*Valores!$C$104</f>
        <v>75920.519</v>
      </c>
      <c r="AI170" s="125">
        <f t="shared" si="25"/>
        <v>835125.7089999999</v>
      </c>
      <c r="AJ170" s="125">
        <f>Valores!$C$32</f>
        <v>70000</v>
      </c>
      <c r="AK170" s="125">
        <v>0</v>
      </c>
      <c r="AL170" s="125">
        <f>Valores!$C$91</f>
        <v>0</v>
      </c>
      <c r="AM170" s="125">
        <f>Valores!C$39*B170</f>
        <v>0</v>
      </c>
      <c r="AN170" s="125">
        <v>0</v>
      </c>
      <c r="AO170" s="125">
        <f t="shared" si="23"/>
        <v>70000</v>
      </c>
      <c r="AP170" s="125">
        <f>AI170*Valores!$C$72</f>
        <v>-91863.82798999999</v>
      </c>
      <c r="AQ170" s="125">
        <f>IF(AI170&lt;Valores!$E$73,-0.02,IF(AI170&lt;Valores!$F$73,-0.03,-0.04))*AI170</f>
        <v>-25053.771269999997</v>
      </c>
      <c r="AR170" s="125">
        <f>AI170*Valores!$C$75</f>
        <v>-45931.913994999995</v>
      </c>
      <c r="AS170" s="125">
        <f>Valores!$C$102</f>
        <v>-1270.16</v>
      </c>
      <c r="AT170" s="125">
        <f>IF($F$5=0,Valores!$C$103,(Valores!$C$103+$F$5*(Valores!$C$103)))</f>
        <v>-11714</v>
      </c>
      <c r="AU170" s="125">
        <f t="shared" si="26"/>
        <v>729292.0357449999</v>
      </c>
      <c r="AV170" s="125">
        <f t="shared" si="20"/>
        <v>-91863.82798999999</v>
      </c>
      <c r="AW170" s="125">
        <f t="shared" si="27"/>
        <v>-25053.771269999997</v>
      </c>
      <c r="AX170" s="125">
        <f>AI170*Valores!$C$76</f>
        <v>-22548.394142999998</v>
      </c>
      <c r="AY170" s="125">
        <f>AI170*Valores!$C$77</f>
        <v>-2505.3771269999997</v>
      </c>
      <c r="AZ170" s="125">
        <f t="shared" si="24"/>
        <v>763154.3384699998</v>
      </c>
      <c r="BA170" s="125">
        <f>AI170*Valores!$C$79</f>
        <v>133620.11344</v>
      </c>
      <c r="BB170" s="125">
        <f>AI170*Valores!$C$80</f>
        <v>58458.79963</v>
      </c>
      <c r="BC170" s="125">
        <f>AI170*Valores!$C$81</f>
        <v>8351.25709</v>
      </c>
      <c r="BD170" s="125">
        <f>AI170*Valores!$C$83</f>
        <v>29229.399815</v>
      </c>
      <c r="BE170" s="125">
        <f>AI170*Valores!$C$85</f>
        <v>45096.788285999995</v>
      </c>
      <c r="BF170" s="125">
        <f>AI170*Valores!$C$84</f>
        <v>5010.7542539999995</v>
      </c>
      <c r="BG170" s="126"/>
      <c r="BH170" s="126"/>
      <c r="BI170" s="123" t="s">
        <v>8</v>
      </c>
    </row>
    <row r="171" spans="1:61" s="110" customFormat="1" ht="11.25" customHeight="1">
      <c r="A171" s="123" t="s">
        <v>425</v>
      </c>
      <c r="B171" s="123">
        <v>1</v>
      </c>
      <c r="C171" s="126">
        <v>164</v>
      </c>
      <c r="D171" s="124" t="s">
        <v>426</v>
      </c>
      <c r="E171" s="192">
        <v>93</v>
      </c>
      <c r="F171" s="125">
        <f>ROUND(E171*Valores!$C$2,2)</f>
        <v>7698.54</v>
      </c>
      <c r="G171" s="192">
        <v>2547</v>
      </c>
      <c r="H171" s="125">
        <f>ROUND(G171*Valores!$C$2,2)</f>
        <v>210840.66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90023.82</v>
      </c>
      <c r="N171" s="125">
        <f t="shared" si="21"/>
        <v>0</v>
      </c>
      <c r="O171" s="125">
        <f>Valores!$C$16</f>
        <v>71528.26</v>
      </c>
      <c r="P171" s="125">
        <f>Valores!$D$5</f>
        <v>42317.14</v>
      </c>
      <c r="Q171" s="125">
        <v>0</v>
      </c>
      <c r="R171" s="125">
        <f>IF($F$4="NO",Valores!$C$48,Valores!$C$48/2)</f>
        <v>44235.76</v>
      </c>
      <c r="S171" s="125">
        <f>Valores!$C$19</f>
        <v>39374.32</v>
      </c>
      <c r="T171" s="125">
        <f t="shared" si="28"/>
        <v>39374.32</v>
      </c>
      <c r="U171" s="125">
        <v>0</v>
      </c>
      <c r="V171" s="125">
        <v>0</v>
      </c>
      <c r="W171" s="192">
        <v>700</v>
      </c>
      <c r="X171" s="125">
        <f>ROUND(W171*Valores!$C$2,2)</f>
        <v>57946</v>
      </c>
      <c r="Y171" s="125">
        <f>ROUND(SUM(J171,H171,F171,R171)*Valores!$C$3,2)</f>
        <v>39416.24</v>
      </c>
      <c r="Z171" s="125">
        <f>Valores!$C$98</f>
        <v>115888.34</v>
      </c>
      <c r="AA171" s="125">
        <f>Valores!$C$25</f>
        <v>1730.69</v>
      </c>
      <c r="AB171" s="214">
        <v>0</v>
      </c>
      <c r="AC171" s="125">
        <f t="shared" si="22"/>
        <v>0</v>
      </c>
      <c r="AD171" s="125">
        <f>Valores!$C$26</f>
        <v>1730.69</v>
      </c>
      <c r="AE171" s="192">
        <v>0</v>
      </c>
      <c r="AF171" s="125">
        <f>ROUND(AE171*Valores!$C$2,2)</f>
        <v>0</v>
      </c>
      <c r="AG171" s="125">
        <f>ROUND(IF($F$4="NO",Valores!$C$64,Valores!$C$64/2),2)</f>
        <v>19786.28</v>
      </c>
      <c r="AH171" s="125">
        <f>SUM(F171,H171,J171,L171,M171,N171,O171,P171,Q171,R171,T171,U171,V171,X171,Y171,Z171,AA171,AC171,AD171,AF171,AG171)*Valores!$C$104</f>
        <v>74251.67399999998</v>
      </c>
      <c r="AI171" s="125">
        <f t="shared" si="25"/>
        <v>816768.4139999999</v>
      </c>
      <c r="AJ171" s="125">
        <f>Valores!$C$32</f>
        <v>70000</v>
      </c>
      <c r="AK171" s="125">
        <v>0</v>
      </c>
      <c r="AL171" s="125">
        <f>Valores!$C$91</f>
        <v>0</v>
      </c>
      <c r="AM171" s="125">
        <f>Valores!C$39*B171</f>
        <v>0</v>
      </c>
      <c r="AN171" s="125">
        <v>0</v>
      </c>
      <c r="AO171" s="125">
        <f t="shared" si="23"/>
        <v>70000</v>
      </c>
      <c r="AP171" s="125">
        <f>AI171*Valores!$C$72</f>
        <v>-89844.52553999999</v>
      </c>
      <c r="AQ171" s="125">
        <f>IF(AI171&lt;Valores!$E$73,-0.02,IF(AI171&lt;Valores!$F$73,-0.03,-0.04))*AI171</f>
        <v>-24503.052419999996</v>
      </c>
      <c r="AR171" s="125">
        <f>AI171*Valores!$C$75</f>
        <v>-44922.262769999994</v>
      </c>
      <c r="AS171" s="125">
        <f>Valores!$C$102</f>
        <v>-1270.16</v>
      </c>
      <c r="AT171" s="125">
        <f>IF($F$5=0,Valores!$C$103,(Valores!$C$103+$F$5*(Valores!$C$103)))</f>
        <v>-11714</v>
      </c>
      <c r="AU171" s="125">
        <f t="shared" si="26"/>
        <v>714514.4132699999</v>
      </c>
      <c r="AV171" s="125">
        <f t="shared" si="20"/>
        <v>-89844.52553999999</v>
      </c>
      <c r="AW171" s="125">
        <f t="shared" si="27"/>
        <v>-24503.052419999996</v>
      </c>
      <c r="AX171" s="125">
        <f>AI171*Valores!$C$76</f>
        <v>-22052.747177999998</v>
      </c>
      <c r="AY171" s="125">
        <f>AI171*Valores!$C$77</f>
        <v>-2450.3052419999995</v>
      </c>
      <c r="AZ171" s="125">
        <f t="shared" si="24"/>
        <v>747917.7836199999</v>
      </c>
      <c r="BA171" s="125">
        <f>AI171*Valores!$C$79</f>
        <v>130682.94623999998</v>
      </c>
      <c r="BB171" s="125">
        <f>AI171*Valores!$C$80</f>
        <v>57173.78898</v>
      </c>
      <c r="BC171" s="125">
        <f>AI171*Valores!$C$81</f>
        <v>8167.6841399999985</v>
      </c>
      <c r="BD171" s="125">
        <f>AI171*Valores!$C$83</f>
        <v>28586.89449</v>
      </c>
      <c r="BE171" s="125">
        <f>AI171*Valores!$C$85</f>
        <v>44105.494355999996</v>
      </c>
      <c r="BF171" s="125">
        <f>AI171*Valores!$C$84</f>
        <v>4900.610483999999</v>
      </c>
      <c r="BG171" s="126"/>
      <c r="BH171" s="126"/>
      <c r="BI171" s="123" t="s">
        <v>4</v>
      </c>
    </row>
    <row r="172" spans="1:61" s="110" customFormat="1" ht="11.25" customHeight="1">
      <c r="A172" s="123" t="s">
        <v>427</v>
      </c>
      <c r="B172" s="123">
        <v>1</v>
      </c>
      <c r="C172" s="126">
        <v>165</v>
      </c>
      <c r="D172" s="124" t="s">
        <v>428</v>
      </c>
      <c r="E172" s="192">
        <v>1278</v>
      </c>
      <c r="F172" s="125">
        <f>ROUND(E172*Valores!$C$2,2)</f>
        <v>105792.84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65976.23</v>
      </c>
      <c r="N172" s="125">
        <f t="shared" si="21"/>
        <v>0</v>
      </c>
      <c r="O172" s="125">
        <f>Valores!$C$16</f>
        <v>71528.26</v>
      </c>
      <c r="P172" s="125">
        <f>Valores!$D$5</f>
        <v>42317.14</v>
      </c>
      <c r="Q172" s="125">
        <v>0</v>
      </c>
      <c r="R172" s="125">
        <f>IF($F$4="NO",Valores!$C$48,Valores!$C$48/2)</f>
        <v>44235.76</v>
      </c>
      <c r="S172" s="125">
        <f>Valores!$C$19</f>
        <v>39374.32</v>
      </c>
      <c r="T172" s="125">
        <f t="shared" si="28"/>
        <v>39374.32</v>
      </c>
      <c r="U172" s="125">
        <v>0</v>
      </c>
      <c r="V172" s="125">
        <v>0</v>
      </c>
      <c r="W172" s="192">
        <v>900</v>
      </c>
      <c r="X172" s="125">
        <f>ROUND(W172*Valores!$C$2,2)</f>
        <v>74502</v>
      </c>
      <c r="Y172" s="125">
        <f>ROUND(SUM(J172,H172,F172,R172)*Valores!$C$3,2)</f>
        <v>22504.29</v>
      </c>
      <c r="Z172" s="125">
        <f>Valores!$C$98</f>
        <v>115888.34</v>
      </c>
      <c r="AA172" s="125">
        <f>Valores!$C$25</f>
        <v>1730.69</v>
      </c>
      <c r="AB172" s="214">
        <v>0</v>
      </c>
      <c r="AC172" s="125">
        <f t="shared" si="22"/>
        <v>0</v>
      </c>
      <c r="AD172" s="125">
        <f>Valores!$C$26</f>
        <v>1730.69</v>
      </c>
      <c r="AE172" s="192">
        <v>94</v>
      </c>
      <c r="AF172" s="125">
        <f>ROUND(AE172*Valores!$C$2,2)</f>
        <v>7781.32</v>
      </c>
      <c r="AG172" s="125">
        <f>ROUND(IF($F$4="NO",Valores!$C$64,Valores!$C$64/2),2)</f>
        <v>19786.28</v>
      </c>
      <c r="AH172" s="125">
        <f>SUM(F172,H172,J172,L172,M172,N172,O172,P172,Q172,R172,T172,U172,V172,X172,Y172,Z172,AA172,AC172,AD172,AF172,AG172)*Valores!$C$104</f>
        <v>61314.81599999999</v>
      </c>
      <c r="AI172" s="125">
        <f t="shared" si="25"/>
        <v>674462.9759999999</v>
      </c>
      <c r="AJ172" s="125">
        <f>Valores!$C$32</f>
        <v>70000</v>
      </c>
      <c r="AK172" s="125">
        <v>0</v>
      </c>
      <c r="AL172" s="125">
        <f>Valores!$C$91</f>
        <v>0</v>
      </c>
      <c r="AM172" s="125">
        <f>Valores!C$39*B172</f>
        <v>0</v>
      </c>
      <c r="AN172" s="125">
        <f>IF($F$3="NO",0,Valores!$C$56)</f>
        <v>0</v>
      </c>
      <c r="AO172" s="125">
        <f t="shared" si="23"/>
        <v>70000</v>
      </c>
      <c r="AP172" s="125">
        <f>AI172*Valores!$C$72</f>
        <v>-74190.92735999999</v>
      </c>
      <c r="AQ172" s="125">
        <f>IF(AI172&lt;Valores!$E$73,-0.02,IF(AI172&lt;Valores!$F$73,-0.03,-0.04))*AI172</f>
        <v>-13489.259519999998</v>
      </c>
      <c r="AR172" s="125">
        <f>AI172*Valores!$C$75</f>
        <v>-37095.46367999999</v>
      </c>
      <c r="AS172" s="125">
        <f>Valores!$C$102</f>
        <v>-1270.16</v>
      </c>
      <c r="AT172" s="125">
        <f>IF($F$5=0,Valores!$C$103,(Valores!$C$103+$F$5*(Valores!$C$103)))</f>
        <v>-11714</v>
      </c>
      <c r="AU172" s="125">
        <f t="shared" si="26"/>
        <v>606703.1654399999</v>
      </c>
      <c r="AV172" s="125">
        <f t="shared" si="20"/>
        <v>-74190.92735999999</v>
      </c>
      <c r="AW172" s="125">
        <f t="shared" si="27"/>
        <v>-13489.259519999998</v>
      </c>
      <c r="AX172" s="125">
        <f>AI172*Valores!$C$76</f>
        <v>-18210.500352</v>
      </c>
      <c r="AY172" s="125">
        <f>AI172*Valores!$C$77</f>
        <v>-2023.3889279999999</v>
      </c>
      <c r="AZ172" s="125">
        <f t="shared" si="24"/>
        <v>636548.89984</v>
      </c>
      <c r="BA172" s="125">
        <f>AI172*Valores!$C$79</f>
        <v>107914.07615999998</v>
      </c>
      <c r="BB172" s="125">
        <f>AI172*Valores!$C$80</f>
        <v>47212.408319999995</v>
      </c>
      <c r="BC172" s="125">
        <f>AI172*Valores!$C$81</f>
        <v>6744.629759999999</v>
      </c>
      <c r="BD172" s="125">
        <f>AI172*Valores!$C$83</f>
        <v>23606.204159999998</v>
      </c>
      <c r="BE172" s="125">
        <f>AI172*Valores!$C$85</f>
        <v>36421.000704</v>
      </c>
      <c r="BF172" s="125">
        <f>AI172*Valores!$C$84</f>
        <v>4046.7778559999997</v>
      </c>
      <c r="BG172" s="126"/>
      <c r="BH172" s="126">
        <v>36</v>
      </c>
      <c r="BI172" s="123" t="s">
        <v>4</v>
      </c>
    </row>
    <row r="173" spans="1:61" s="110" customFormat="1" ht="11.25" customHeight="1">
      <c r="A173" s="123" t="s">
        <v>429</v>
      </c>
      <c r="B173" s="123">
        <v>1</v>
      </c>
      <c r="C173" s="126">
        <v>166</v>
      </c>
      <c r="D173" s="124" t="s">
        <v>430</v>
      </c>
      <c r="E173" s="192">
        <v>217</v>
      </c>
      <c r="F173" s="125">
        <f>ROUND(E173*Valores!$C$2,2)</f>
        <v>17963.26</v>
      </c>
      <c r="G173" s="192">
        <f>2245</f>
        <v>2245</v>
      </c>
      <c r="H173" s="125">
        <f>ROUND(G173*Valores!$C$2,2)</f>
        <v>185841.1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107614</v>
      </c>
      <c r="M173" s="125">
        <f>ROUND(IF($H$2=0,IF(AND(A173&lt;&gt;"13-930",A173&lt;&gt;"13-940"),(SUM(F173,H173,J173,L173,X173,T173,R173)*Valores!$C$4),0),0),2)</f>
        <v>98757.11</v>
      </c>
      <c r="N173" s="125">
        <f t="shared" si="21"/>
        <v>0</v>
      </c>
      <c r="O173" s="125">
        <f>Valores!$C$9</f>
        <v>104016.7</v>
      </c>
      <c r="P173" s="125">
        <f>Valores!$D$5</f>
        <v>42317.14</v>
      </c>
      <c r="Q173" s="125">
        <f>Valores!$C$22</f>
        <v>37751.3</v>
      </c>
      <c r="R173" s="125">
        <f>IF($F$4="NO",Valores!$C$48,Valores!$C$48/2)</f>
        <v>44235.76</v>
      </c>
      <c r="S173" s="125">
        <f>Valores!$C$19</f>
        <v>39374.32</v>
      </c>
      <c r="T173" s="125">
        <f t="shared" si="28"/>
        <v>39374.32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Valores!$C$98</f>
        <v>115888.34</v>
      </c>
      <c r="AA173" s="125">
        <f>Valores!$C$25</f>
        <v>1730.69</v>
      </c>
      <c r="AB173" s="214">
        <v>0</v>
      </c>
      <c r="AC173" s="125">
        <f t="shared" si="22"/>
        <v>0</v>
      </c>
      <c r="AD173" s="125">
        <f>Valores!$C$26</f>
        <v>1730.69</v>
      </c>
      <c r="AE173" s="192">
        <v>0</v>
      </c>
      <c r="AF173" s="125">
        <f>ROUND(AE173*Valores!$C$2,2)</f>
        <v>0</v>
      </c>
      <c r="AG173" s="125">
        <f>ROUND(IF($F$4="NO",Valores!$C$64,Valores!$C$64/2),2)</f>
        <v>19786.28</v>
      </c>
      <c r="AH173" s="125">
        <f>SUM(F173,H173,J173,L173,M173,N173,O173,P173,Q173,R173,T173,U173,V173,X173,Y173,Z173,AA173,AC173,AD173,AF173,AG173)*Valores!$C$104</f>
        <v>81700.669</v>
      </c>
      <c r="AI173" s="125">
        <f t="shared" si="25"/>
        <v>898707.3589999998</v>
      </c>
      <c r="AJ173" s="125">
        <f>Valores!$C$32</f>
        <v>70000</v>
      </c>
      <c r="AK173" s="125">
        <v>0</v>
      </c>
      <c r="AL173" s="125">
        <f>Valores!$C$91</f>
        <v>0</v>
      </c>
      <c r="AM173" s="125">
        <f>Valores!C$39*B173</f>
        <v>0</v>
      </c>
      <c r="AN173" s="125">
        <f>IF($F$3="NO",0,Valores!$C$56)</f>
        <v>0</v>
      </c>
      <c r="AO173" s="125">
        <f t="shared" si="23"/>
        <v>70000</v>
      </c>
      <c r="AP173" s="125">
        <f>AI173*Valores!$C$72</f>
        <v>-98857.80948999999</v>
      </c>
      <c r="AQ173" s="125">
        <f>IF(AI173&lt;Valores!$E$73,-0.02,IF(AI173&lt;Valores!$F$73,-0.03,-0.04))*AI173</f>
        <v>-26961.220769999993</v>
      </c>
      <c r="AR173" s="125">
        <f>AI173*Valores!$C$75</f>
        <v>-49428.90474499999</v>
      </c>
      <c r="AS173" s="125">
        <f>Valores!$C$102</f>
        <v>-1270.16</v>
      </c>
      <c r="AT173" s="125">
        <f>IF($F$5=0,Valores!$C$103,(Valores!$C$103+$F$5*(Valores!$C$103)))</f>
        <v>-11714</v>
      </c>
      <c r="AU173" s="125">
        <f t="shared" si="26"/>
        <v>780475.2639949998</v>
      </c>
      <c r="AV173" s="125">
        <f t="shared" si="20"/>
        <v>-98857.80948999999</v>
      </c>
      <c r="AW173" s="125">
        <f t="shared" si="27"/>
        <v>-26961.220769999993</v>
      </c>
      <c r="AX173" s="125">
        <f>AI173*Valores!$C$76</f>
        <v>-24265.098692999996</v>
      </c>
      <c r="AY173" s="125">
        <f>AI173*Valores!$C$77</f>
        <v>-2696.1220769999995</v>
      </c>
      <c r="AZ173" s="125">
        <f t="shared" si="24"/>
        <v>815927.1079699998</v>
      </c>
      <c r="BA173" s="125">
        <f>AI173*Valores!$C$79</f>
        <v>143793.17743999997</v>
      </c>
      <c r="BB173" s="125">
        <f>AI173*Valores!$C$80</f>
        <v>62909.51512999999</v>
      </c>
      <c r="BC173" s="125">
        <f>AI173*Valores!$C$81</f>
        <v>8987.073589999998</v>
      </c>
      <c r="BD173" s="125">
        <f>AI173*Valores!$C$83</f>
        <v>31454.757564999996</v>
      </c>
      <c r="BE173" s="125">
        <f>AI173*Valores!$C$85</f>
        <v>48530.19738599999</v>
      </c>
      <c r="BF173" s="125">
        <f>AI173*Valores!$C$84</f>
        <v>5392.244153999999</v>
      </c>
      <c r="BG173" s="126"/>
      <c r="BH173" s="126">
        <v>45</v>
      </c>
      <c r="BI173" s="123" t="s">
        <v>4</v>
      </c>
    </row>
    <row r="174" spans="1:61" s="110" customFormat="1" ht="11.25" customHeight="1">
      <c r="A174" s="123" t="s">
        <v>431</v>
      </c>
      <c r="B174" s="123">
        <v>1</v>
      </c>
      <c r="C174" s="126">
        <v>167</v>
      </c>
      <c r="D174" s="124" t="s">
        <v>432</v>
      </c>
      <c r="E174" s="192">
        <v>185</v>
      </c>
      <c r="F174" s="125">
        <f>ROUND(E174*Valores!$C$2,2)</f>
        <v>15314.3</v>
      </c>
      <c r="G174" s="192">
        <f>1835</f>
        <v>1835</v>
      </c>
      <c r="H174" s="125">
        <f>ROUND(G174*Valores!$C$2,2)</f>
        <v>151901.3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107614</v>
      </c>
      <c r="M174" s="125">
        <f>ROUND(IF($H$2=0,IF(AND(A174&lt;&gt;"13-930",A174&lt;&gt;"13-940"),(SUM(F174,H174,J174,L174,X174,T174,R174)*Valores!$C$4),0),0),2)</f>
        <v>89609.92</v>
      </c>
      <c r="N174" s="125">
        <f t="shared" si="21"/>
        <v>0</v>
      </c>
      <c r="O174" s="125">
        <f>Valores!$C$9</f>
        <v>104016.7</v>
      </c>
      <c r="P174" s="125">
        <f>Valores!$D$5</f>
        <v>42317.14</v>
      </c>
      <c r="Q174" s="125">
        <f>Valores!$C$22</f>
        <v>37751.3</v>
      </c>
      <c r="R174" s="125">
        <f>IF($F$4="NO",Valores!$C$48,Valores!$C$48/2)</f>
        <v>44235.76</v>
      </c>
      <c r="S174" s="125">
        <f>Valores!$C$19</f>
        <v>39374.32</v>
      </c>
      <c r="T174" s="125">
        <f t="shared" si="28"/>
        <v>39374.32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Valores!$C$98</f>
        <v>115888.34</v>
      </c>
      <c r="AA174" s="125">
        <f>Valores!$C$25</f>
        <v>1730.69</v>
      </c>
      <c r="AB174" s="214">
        <v>0</v>
      </c>
      <c r="AC174" s="125">
        <f t="shared" si="22"/>
        <v>0</v>
      </c>
      <c r="AD174" s="125">
        <f>Valores!$C$26</f>
        <v>1730.69</v>
      </c>
      <c r="AE174" s="192">
        <v>0</v>
      </c>
      <c r="AF174" s="125">
        <f>ROUND(AE174*Valores!$C$2,2)</f>
        <v>0</v>
      </c>
      <c r="AG174" s="125">
        <f>ROUND(IF($F$4="NO",Valores!$C$64,Valores!$C$64/2),2)</f>
        <v>19786.28</v>
      </c>
      <c r="AH174" s="125">
        <f>SUM(F174,H174,J174,L174,M174,N174,O174,P174,Q174,R174,T174,U174,V174,X174,Y174,Z174,AA174,AC174,AD174,AF174,AG174)*Valores!$C$104</f>
        <v>77127.074</v>
      </c>
      <c r="AI174" s="125">
        <f t="shared" si="25"/>
        <v>848397.8139999999</v>
      </c>
      <c r="AJ174" s="125">
        <f>Valores!$C$32</f>
        <v>70000</v>
      </c>
      <c r="AK174" s="125">
        <v>0</v>
      </c>
      <c r="AL174" s="125">
        <f>Valores!$C$91</f>
        <v>0</v>
      </c>
      <c r="AM174" s="125">
        <f>Valores!C$39*B174</f>
        <v>0</v>
      </c>
      <c r="AN174" s="125">
        <f>IF($F$3="NO",0,Valores!$C$56)</f>
        <v>0</v>
      </c>
      <c r="AO174" s="125">
        <f t="shared" si="23"/>
        <v>70000</v>
      </c>
      <c r="AP174" s="125">
        <f>AI174*Valores!$C$72</f>
        <v>-93323.75953999998</v>
      </c>
      <c r="AQ174" s="125">
        <f>IF(AI174&lt;Valores!$E$73,-0.02,IF(AI174&lt;Valores!$F$73,-0.03,-0.04))*AI174</f>
        <v>-25451.934419999998</v>
      </c>
      <c r="AR174" s="125">
        <f>AI174*Valores!$C$75</f>
        <v>-46661.87976999999</v>
      </c>
      <c r="AS174" s="125">
        <f>Valores!$C$102</f>
        <v>-1270.16</v>
      </c>
      <c r="AT174" s="125">
        <f>IF($F$5=0,Valores!$C$103,(Valores!$C$103+$F$5*(Valores!$C$103)))</f>
        <v>-11714</v>
      </c>
      <c r="AU174" s="125">
        <f t="shared" si="26"/>
        <v>739976.0802699999</v>
      </c>
      <c r="AV174" s="125">
        <f t="shared" si="20"/>
        <v>-93323.75953999998</v>
      </c>
      <c r="AW174" s="125">
        <f t="shared" si="27"/>
        <v>-25451.934419999998</v>
      </c>
      <c r="AX174" s="125">
        <f>AI174*Valores!$C$76</f>
        <v>-22906.740977999998</v>
      </c>
      <c r="AY174" s="125">
        <f>AI174*Valores!$C$77</f>
        <v>-2545.193442</v>
      </c>
      <c r="AZ174" s="125">
        <f t="shared" si="24"/>
        <v>774170.1856199999</v>
      </c>
      <c r="BA174" s="125">
        <f>AI174*Valores!$C$79</f>
        <v>135743.65024</v>
      </c>
      <c r="BB174" s="125">
        <f>AI174*Valores!$C$80</f>
        <v>59387.846979999995</v>
      </c>
      <c r="BC174" s="125">
        <f>AI174*Valores!$C$81</f>
        <v>8483.97814</v>
      </c>
      <c r="BD174" s="125">
        <f>AI174*Valores!$C$83</f>
        <v>29693.923489999997</v>
      </c>
      <c r="BE174" s="125">
        <f>AI174*Valores!$C$85</f>
        <v>45813.481955999996</v>
      </c>
      <c r="BF174" s="125">
        <f>AI174*Valores!$C$84</f>
        <v>5090.386884</v>
      </c>
      <c r="BG174" s="126"/>
      <c r="BH174" s="126">
        <v>45</v>
      </c>
      <c r="BI174" s="123" t="s">
        <v>4</v>
      </c>
    </row>
    <row r="175" spans="1:61" s="110" customFormat="1" ht="11.25" customHeight="1">
      <c r="A175" s="123" t="s">
        <v>433</v>
      </c>
      <c r="B175" s="123">
        <v>1</v>
      </c>
      <c r="C175" s="126">
        <v>168</v>
      </c>
      <c r="D175" s="124" t="s">
        <v>434</v>
      </c>
      <c r="E175" s="192">
        <v>160</v>
      </c>
      <c r="F175" s="125">
        <f>ROUND(E175*Valores!$C$2,2)</f>
        <v>13244.8</v>
      </c>
      <c r="G175" s="192">
        <f>1484</f>
        <v>1484</v>
      </c>
      <c r="H175" s="125">
        <f>ROUND(G175*Valores!$C$2,2)</f>
        <v>122845.52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107614</v>
      </c>
      <c r="M175" s="125">
        <f>ROUND(IF($H$2=0,IF(AND(A175&lt;&gt;"13-930",A175&lt;&gt;"13-940"),(SUM(F175,H175,J175,L175,X175,T175,R175)*Valores!$C$4),0),0),2)</f>
        <v>81828.6</v>
      </c>
      <c r="N175" s="125">
        <f t="shared" si="21"/>
        <v>0</v>
      </c>
      <c r="O175" s="125">
        <f>Valores!$C$9</f>
        <v>104016.7</v>
      </c>
      <c r="P175" s="125">
        <f>Valores!$D$5</f>
        <v>42317.14</v>
      </c>
      <c r="Q175" s="125">
        <f>Valores!$C$22</f>
        <v>37751.3</v>
      </c>
      <c r="R175" s="125">
        <f>IF($F$4="NO",Valores!$C$48,Valores!$C$48/2)</f>
        <v>44235.76</v>
      </c>
      <c r="S175" s="125">
        <f>Valores!$C$19</f>
        <v>39374.32</v>
      </c>
      <c r="T175" s="125">
        <f t="shared" si="28"/>
        <v>39374.32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Valores!$C$98</f>
        <v>115888.34</v>
      </c>
      <c r="AA175" s="125">
        <f>Valores!$C$25</f>
        <v>1730.69</v>
      </c>
      <c r="AB175" s="214">
        <v>0</v>
      </c>
      <c r="AC175" s="125">
        <f t="shared" si="22"/>
        <v>0</v>
      </c>
      <c r="AD175" s="125">
        <f>Valores!$C$26</f>
        <v>1730.69</v>
      </c>
      <c r="AE175" s="192">
        <v>0</v>
      </c>
      <c r="AF175" s="125">
        <f>ROUND(AE175*Valores!$C$2,2)</f>
        <v>0</v>
      </c>
      <c r="AG175" s="125">
        <f>ROUND(IF($F$4="NO",Valores!$C$64,Valores!$C$64/2),2)</f>
        <v>19786.28</v>
      </c>
      <c r="AH175" s="125">
        <f>SUM(F175,H175,J175,L175,M175,N175,O175,P175,Q175,R175,T175,U175,V175,X175,Y175,Z175,AA175,AC175,AD175,AF175,AG175)*Valores!$C$104</f>
        <v>73236.41399999999</v>
      </c>
      <c r="AI175" s="125">
        <f t="shared" si="25"/>
        <v>805600.5539999999</v>
      </c>
      <c r="AJ175" s="125">
        <f>Valores!$C$32</f>
        <v>70000</v>
      </c>
      <c r="AK175" s="125">
        <v>0</v>
      </c>
      <c r="AL175" s="125">
        <f>Valores!$C$91</f>
        <v>0</v>
      </c>
      <c r="AM175" s="125">
        <f>Valores!C$39*B175</f>
        <v>0</v>
      </c>
      <c r="AN175" s="125">
        <f>IF($F$3="NO",0,Valores!$C$56)</f>
        <v>0</v>
      </c>
      <c r="AO175" s="125">
        <f t="shared" si="23"/>
        <v>70000</v>
      </c>
      <c r="AP175" s="125">
        <f>AI175*Valores!$C$72</f>
        <v>-88616.06093999998</v>
      </c>
      <c r="AQ175" s="125">
        <f>IF(AI175&lt;Valores!$E$73,-0.02,IF(AI175&lt;Valores!$F$73,-0.03,-0.04))*AI175</f>
        <v>-24168.016619999995</v>
      </c>
      <c r="AR175" s="125">
        <f>AI175*Valores!$C$75</f>
        <v>-44308.03046999999</v>
      </c>
      <c r="AS175" s="125">
        <f>Valores!$C$102</f>
        <v>-1270.16</v>
      </c>
      <c r="AT175" s="125">
        <f>IF($F$5=0,Valores!$C$103,(Valores!$C$103+$F$5*(Valores!$C$103)))</f>
        <v>-11714</v>
      </c>
      <c r="AU175" s="125">
        <f t="shared" si="26"/>
        <v>705524.2859699999</v>
      </c>
      <c r="AV175" s="125">
        <f t="shared" si="20"/>
        <v>-88616.06093999998</v>
      </c>
      <c r="AW175" s="125">
        <f t="shared" si="27"/>
        <v>-24168.016619999995</v>
      </c>
      <c r="AX175" s="125">
        <f>AI175*Valores!$C$76</f>
        <v>-21751.214957999997</v>
      </c>
      <c r="AY175" s="125">
        <f>AI175*Valores!$C$77</f>
        <v>-2416.801662</v>
      </c>
      <c r="AZ175" s="125">
        <f t="shared" si="24"/>
        <v>738648.4598199999</v>
      </c>
      <c r="BA175" s="125">
        <f>AI175*Valores!$C$79</f>
        <v>128896.08863999999</v>
      </c>
      <c r="BB175" s="125">
        <f>AI175*Valores!$C$80</f>
        <v>56392.038779999995</v>
      </c>
      <c r="BC175" s="125">
        <f>AI175*Valores!$C$81</f>
        <v>8056.005539999999</v>
      </c>
      <c r="BD175" s="125">
        <f>AI175*Valores!$C$83</f>
        <v>28196.019389999998</v>
      </c>
      <c r="BE175" s="125">
        <f>AI175*Valores!$C$85</f>
        <v>43502.429915999994</v>
      </c>
      <c r="BF175" s="125">
        <f>AI175*Valores!$C$84</f>
        <v>4833.603324</v>
      </c>
      <c r="BG175" s="126"/>
      <c r="BH175" s="126">
        <v>45</v>
      </c>
      <c r="BI175" s="123" t="s">
        <v>4</v>
      </c>
    </row>
    <row r="176" spans="1:61" s="110" customFormat="1" ht="11.25" customHeight="1">
      <c r="A176" s="123" t="s">
        <v>435</v>
      </c>
      <c r="B176" s="123">
        <v>1</v>
      </c>
      <c r="C176" s="126">
        <v>169</v>
      </c>
      <c r="D176" s="124" t="s">
        <v>436</v>
      </c>
      <c r="E176" s="192">
        <v>178</v>
      </c>
      <c r="F176" s="125">
        <f>ROUND(E176*Valores!$C$2,2)</f>
        <v>14734.84</v>
      </c>
      <c r="G176" s="192">
        <f>1842</f>
        <v>1842</v>
      </c>
      <c r="H176" s="125">
        <f>ROUND(G176*Valores!$C$2,2)</f>
        <v>152480.76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107614</v>
      </c>
      <c r="M176" s="125">
        <f>ROUND(IF($H$2=0,IF(AND(A176&lt;&gt;"13-930",A176&lt;&gt;"13-940"),(SUM(F176,H176,J176,L176,X176,T176,R176)*Valores!$C$4),0),0),2)</f>
        <v>89609.92</v>
      </c>
      <c r="N176" s="125">
        <f t="shared" si="21"/>
        <v>0</v>
      </c>
      <c r="O176" s="125">
        <f>Valores!$C$9</f>
        <v>104016.7</v>
      </c>
      <c r="P176" s="125">
        <f>Valores!$D$5</f>
        <v>42317.14</v>
      </c>
      <c r="Q176" s="125">
        <f>Valores!$C$22</f>
        <v>37751.3</v>
      </c>
      <c r="R176" s="125">
        <f>IF($F$4="NO",Valores!$C$48,Valores!$C$48/2)</f>
        <v>44235.76</v>
      </c>
      <c r="S176" s="125">
        <f>Valores!$C$19</f>
        <v>39374.32</v>
      </c>
      <c r="T176" s="125">
        <f t="shared" si="28"/>
        <v>39374.32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Valores!$C$98</f>
        <v>115888.34</v>
      </c>
      <c r="AA176" s="125">
        <f>Valores!$C$25</f>
        <v>1730.69</v>
      </c>
      <c r="AB176" s="214">
        <v>0</v>
      </c>
      <c r="AC176" s="125">
        <f t="shared" si="22"/>
        <v>0</v>
      </c>
      <c r="AD176" s="125">
        <f>Valores!$C$26</f>
        <v>1730.69</v>
      </c>
      <c r="AE176" s="192">
        <v>0</v>
      </c>
      <c r="AF176" s="125">
        <f>ROUND(AE176*Valores!$C$2,2)</f>
        <v>0</v>
      </c>
      <c r="AG176" s="125">
        <f>ROUND(IF($F$4="NO",Valores!$C$64,Valores!$C$64/2),2)</f>
        <v>19786.28</v>
      </c>
      <c r="AH176" s="125">
        <f>SUM(F176,H176,J176,L176,M176,N176,O176,P176,Q176,R176,T176,U176,V176,X176,Y176,Z176,AA176,AC176,AD176,AF176,AG176)*Valores!$C$104</f>
        <v>77127.074</v>
      </c>
      <c r="AI176" s="125">
        <f t="shared" si="25"/>
        <v>848397.8139999999</v>
      </c>
      <c r="AJ176" s="125">
        <f>Valores!$C$32</f>
        <v>70000</v>
      </c>
      <c r="AK176" s="125">
        <v>0</v>
      </c>
      <c r="AL176" s="125">
        <f>Valores!$C$91</f>
        <v>0</v>
      </c>
      <c r="AM176" s="125">
        <f>Valores!C$39*B176</f>
        <v>0</v>
      </c>
      <c r="AN176" s="125">
        <f>IF($F$3="NO",0,Valores!$C$56)</f>
        <v>0</v>
      </c>
      <c r="AO176" s="125">
        <f t="shared" si="23"/>
        <v>70000</v>
      </c>
      <c r="AP176" s="125">
        <f>AI176*Valores!$C$72</f>
        <v>-93323.75953999998</v>
      </c>
      <c r="AQ176" s="125">
        <f>IF(AI176&lt;Valores!$E$73,-0.02,IF(AI176&lt;Valores!$F$73,-0.03,-0.04))*AI176</f>
        <v>-25451.934419999998</v>
      </c>
      <c r="AR176" s="125">
        <f>AI176*Valores!$C$75</f>
        <v>-46661.87976999999</v>
      </c>
      <c r="AS176" s="125">
        <f>Valores!$C$102</f>
        <v>-1270.16</v>
      </c>
      <c r="AT176" s="125">
        <f>IF($F$5=0,Valores!$C$103,(Valores!$C$103+$F$5*(Valores!$C$103)))</f>
        <v>-11714</v>
      </c>
      <c r="AU176" s="125">
        <f t="shared" si="26"/>
        <v>739976.0802699999</v>
      </c>
      <c r="AV176" s="125">
        <f t="shared" si="20"/>
        <v>-93323.75953999998</v>
      </c>
      <c r="AW176" s="125">
        <f t="shared" si="27"/>
        <v>-25451.934419999998</v>
      </c>
      <c r="AX176" s="125">
        <f>AI176*Valores!$C$76</f>
        <v>-22906.740977999998</v>
      </c>
      <c r="AY176" s="125">
        <f>AI176*Valores!$C$77</f>
        <v>-2545.193442</v>
      </c>
      <c r="AZ176" s="125">
        <f t="shared" si="24"/>
        <v>774170.1856199999</v>
      </c>
      <c r="BA176" s="125">
        <f>AI176*Valores!$C$79</f>
        <v>135743.65024</v>
      </c>
      <c r="BB176" s="125">
        <f>AI176*Valores!$C$80</f>
        <v>59387.846979999995</v>
      </c>
      <c r="BC176" s="125">
        <f>AI176*Valores!$C$81</f>
        <v>8483.97814</v>
      </c>
      <c r="BD176" s="125">
        <f>AI176*Valores!$C$83</f>
        <v>29693.923489999997</v>
      </c>
      <c r="BE176" s="125">
        <f>AI176*Valores!$C$85</f>
        <v>45813.481955999996</v>
      </c>
      <c r="BF176" s="125">
        <f>AI176*Valores!$C$84</f>
        <v>5090.386884</v>
      </c>
      <c r="BG176" s="126"/>
      <c r="BH176" s="126">
        <v>45</v>
      </c>
      <c r="BI176" s="123" t="s">
        <v>4</v>
      </c>
    </row>
    <row r="177" spans="1:61" s="110" customFormat="1" ht="11.25" customHeight="1">
      <c r="A177" s="123" t="s">
        <v>437</v>
      </c>
      <c r="B177" s="123">
        <v>1</v>
      </c>
      <c r="C177" s="126">
        <v>170</v>
      </c>
      <c r="D177" s="124" t="s">
        <v>438</v>
      </c>
      <c r="E177" s="192">
        <v>1278</v>
      </c>
      <c r="F177" s="125">
        <f>ROUND(E177*Valores!$C$2,2)</f>
        <v>105792.84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99336</v>
      </c>
      <c r="M177" s="125">
        <f>ROUND(IF($H$2=0,IF(AND(A177&lt;&gt;"13-930",A177&lt;&gt;"13-940"),(SUM(F177,H177,J177,L177,X177,T177,R177)*Valores!$C$4),0),0),2)</f>
        <v>72184.73</v>
      </c>
      <c r="N177" s="125">
        <f t="shared" si="21"/>
        <v>0</v>
      </c>
      <c r="O177" s="125">
        <f>Valores!$C$16</f>
        <v>71528.26</v>
      </c>
      <c r="P177" s="125">
        <f>Valores!$D$5</f>
        <v>42317.14</v>
      </c>
      <c r="Q177" s="125">
        <f>Valores!$C$22</f>
        <v>37751.3</v>
      </c>
      <c r="R177" s="125">
        <f>IF($F$4="NO",Valores!$C$48,Valores!$C$48/2)</f>
        <v>44235.76</v>
      </c>
      <c r="S177" s="125">
        <f>Valores!$C$19</f>
        <v>39374.32</v>
      </c>
      <c r="T177" s="125">
        <f t="shared" si="28"/>
        <v>39374.32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Valores!$C$98</f>
        <v>115888.34</v>
      </c>
      <c r="AA177" s="125">
        <f>Valores!$C$25</f>
        <v>1730.69</v>
      </c>
      <c r="AB177" s="214">
        <v>0</v>
      </c>
      <c r="AC177" s="125">
        <f t="shared" si="22"/>
        <v>0</v>
      </c>
      <c r="AD177" s="125">
        <f>Valores!$C$26</f>
        <v>1730.69</v>
      </c>
      <c r="AE177" s="192">
        <v>0</v>
      </c>
      <c r="AF177" s="125">
        <f>ROUND(AE177*Valores!$C$2,2)</f>
        <v>0</v>
      </c>
      <c r="AG177" s="125">
        <f>ROUND(IF($F$4="NO",Valores!$C$64,Valores!$C$64/2),2)</f>
        <v>19786.28</v>
      </c>
      <c r="AH177" s="125">
        <f>SUM(F177,H177,J177,L177,M177,N177,O177,P177,Q177,R177,T177,U177,V177,X177,Y177,Z177,AA177,AC177,AD177,AF177,AG177)*Valores!$C$104</f>
        <v>65165.635</v>
      </c>
      <c r="AI177" s="125">
        <f t="shared" si="25"/>
        <v>716821.985</v>
      </c>
      <c r="AJ177" s="125">
        <f>Valores!$C$32</f>
        <v>70000</v>
      </c>
      <c r="AK177" s="125">
        <v>0</v>
      </c>
      <c r="AL177" s="125">
        <f>Valores!$C$91</f>
        <v>0</v>
      </c>
      <c r="AM177" s="125">
        <f>Valores!C$39*B177</f>
        <v>0</v>
      </c>
      <c r="AN177" s="125">
        <f>IF($F$3="NO",0,Valores!$C$56)</f>
        <v>0</v>
      </c>
      <c r="AO177" s="125">
        <f t="shared" si="23"/>
        <v>70000</v>
      </c>
      <c r="AP177" s="125">
        <f>AI177*Valores!$C$72</f>
        <v>-78850.41834999999</v>
      </c>
      <c r="AQ177" s="125">
        <f>IF(AI177&lt;Valores!$E$73,-0.02,IF(AI177&lt;Valores!$F$73,-0.03,-0.04))*AI177</f>
        <v>-14336.4397</v>
      </c>
      <c r="AR177" s="125">
        <f>AI177*Valores!$C$75</f>
        <v>-39425.209174999996</v>
      </c>
      <c r="AS177" s="125">
        <f>Valores!$C$102</f>
        <v>-1270.16</v>
      </c>
      <c r="AT177" s="125">
        <f>IF($F$5=0,Valores!$C$103,(Valores!$C$103+$F$5*(Valores!$C$103)))</f>
        <v>-11714</v>
      </c>
      <c r="AU177" s="125">
        <f t="shared" si="26"/>
        <v>641225.757775</v>
      </c>
      <c r="AV177" s="125">
        <f t="shared" si="20"/>
        <v>-78850.41834999999</v>
      </c>
      <c r="AW177" s="125">
        <f t="shared" si="27"/>
        <v>-14336.4397</v>
      </c>
      <c r="AX177" s="125">
        <f>AI177*Valores!$C$76</f>
        <v>-19354.193595</v>
      </c>
      <c r="AY177" s="125">
        <f>AI177*Valores!$C$77</f>
        <v>-2150.465955</v>
      </c>
      <c r="AZ177" s="125">
        <f t="shared" si="24"/>
        <v>672130.4674</v>
      </c>
      <c r="BA177" s="125">
        <f>AI177*Valores!$C$79</f>
        <v>114691.5176</v>
      </c>
      <c r="BB177" s="125">
        <f>AI177*Valores!$C$80</f>
        <v>50177.53895</v>
      </c>
      <c r="BC177" s="125">
        <f>AI177*Valores!$C$81</f>
        <v>7168.21985</v>
      </c>
      <c r="BD177" s="125">
        <f>AI177*Valores!$C$83</f>
        <v>25088.769475</v>
      </c>
      <c r="BE177" s="125">
        <f>AI177*Valores!$C$85</f>
        <v>38708.38719</v>
      </c>
      <c r="BF177" s="125">
        <f>AI177*Valores!$C$84</f>
        <v>4300.93191</v>
      </c>
      <c r="BG177" s="126"/>
      <c r="BH177" s="126"/>
      <c r="BI177" s="123" t="s">
        <v>4</v>
      </c>
    </row>
    <row r="178" spans="1:61" s="110" customFormat="1" ht="11.25" customHeight="1">
      <c r="A178" s="123" t="s">
        <v>439</v>
      </c>
      <c r="B178" s="123">
        <v>1</v>
      </c>
      <c r="C178" s="126">
        <v>171</v>
      </c>
      <c r="D178" s="124" t="s">
        <v>440</v>
      </c>
      <c r="E178" s="192">
        <v>971</v>
      </c>
      <c r="F178" s="125">
        <f>ROUND(E178*Valores!$C$2,2)</f>
        <v>80379.38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54634.8</v>
      </c>
      <c r="M178" s="125">
        <f>ROUND(IF($H$2=0,IF(AND(A178&lt;&gt;"13-930",A178&lt;&gt;"13-940"),(SUM(F178,H178,J178,L178,X178,T178,R178)*Valores!$C$4),0),0),2)</f>
        <v>54656.07</v>
      </c>
      <c r="N178" s="125">
        <f t="shared" si="21"/>
        <v>0</v>
      </c>
      <c r="O178" s="125">
        <f>Valores!$C$16</f>
        <v>71528.26</v>
      </c>
      <c r="P178" s="125">
        <f>Valores!$D$5</f>
        <v>42317.14</v>
      </c>
      <c r="Q178" s="125">
        <f>Valores!$C$22</f>
        <v>37751.3</v>
      </c>
      <c r="R178" s="125">
        <f>IF($F$4="NO",Valores!$C$48,Valores!$C$48/2)</f>
        <v>44235.76</v>
      </c>
      <c r="S178" s="125">
        <f>Valores!$C$19</f>
        <v>39374.32</v>
      </c>
      <c r="T178" s="125">
        <f t="shared" si="28"/>
        <v>39374.32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Valores!$C$98</f>
        <v>115888.34</v>
      </c>
      <c r="AA178" s="125">
        <f>Valores!$C$25</f>
        <v>1730.69</v>
      </c>
      <c r="AB178" s="214">
        <v>0</v>
      </c>
      <c r="AC178" s="125">
        <f t="shared" si="22"/>
        <v>0</v>
      </c>
      <c r="AD178" s="125">
        <f>Valores!$C$26</f>
        <v>1730.69</v>
      </c>
      <c r="AE178" s="192">
        <v>0</v>
      </c>
      <c r="AF178" s="125">
        <f>ROUND(AE178*Valores!$C$2,2)</f>
        <v>0</v>
      </c>
      <c r="AG178" s="125">
        <f>ROUND(IF($F$4="NO",Valores!$C$64,Valores!$C$64/2),2)</f>
        <v>19786.28</v>
      </c>
      <c r="AH178" s="125">
        <f>SUM(F178,H178,J178,L178,M178,N178,O178,P178,Q178,R178,T178,U178,V178,X178,Y178,Z178,AA178,AC178,AD178,AF178,AG178)*Valores!$C$104</f>
        <v>56401.30299999999</v>
      </c>
      <c r="AI178" s="125">
        <f t="shared" si="25"/>
        <v>620414.3329999999</v>
      </c>
      <c r="AJ178" s="125">
        <f>Valores!$C$31</f>
        <v>35000</v>
      </c>
      <c r="AK178" s="125">
        <v>0</v>
      </c>
      <c r="AL178" s="125">
        <f>Valores!$C$91</f>
        <v>0</v>
      </c>
      <c r="AM178" s="125">
        <f>Valores!C$39*B178</f>
        <v>0</v>
      </c>
      <c r="AN178" s="125">
        <f>IF($F$3="NO",0,Valores!$C$56)</f>
        <v>0</v>
      </c>
      <c r="AO178" s="125">
        <f t="shared" si="23"/>
        <v>35000</v>
      </c>
      <c r="AP178" s="125">
        <f>AI178*Valores!$C$72</f>
        <v>-68245.57662999998</v>
      </c>
      <c r="AQ178" s="125">
        <f>IF(AI178&lt;Valores!$E$73,-0.02,IF(AI178&lt;Valores!$F$73,-0.03,-0.04))*AI178</f>
        <v>-12408.286659999998</v>
      </c>
      <c r="AR178" s="125">
        <f>AI178*Valores!$C$75</f>
        <v>-34122.78831499999</v>
      </c>
      <c r="AS178" s="125">
        <f>Valores!$C$102</f>
        <v>-1270.16</v>
      </c>
      <c r="AT178" s="125">
        <f>IF($F$5=0,Valores!$C$103,(Valores!$C$103+$F$5*(Valores!$C$103)))</f>
        <v>-11714</v>
      </c>
      <c r="AU178" s="125">
        <f t="shared" si="26"/>
        <v>527653.5213949999</v>
      </c>
      <c r="AV178" s="125">
        <f t="shared" si="20"/>
        <v>-68245.57662999998</v>
      </c>
      <c r="AW178" s="125">
        <f t="shared" si="27"/>
        <v>-12408.286659999998</v>
      </c>
      <c r="AX178" s="125">
        <f>AI178*Valores!$C$76</f>
        <v>-16751.186990999995</v>
      </c>
      <c r="AY178" s="125">
        <f>AI178*Valores!$C$77</f>
        <v>-1861.2429989999996</v>
      </c>
      <c r="AZ178" s="125">
        <f t="shared" si="24"/>
        <v>556148.0397199999</v>
      </c>
      <c r="BA178" s="125">
        <f>AI178*Valores!$C$79</f>
        <v>99266.29327999998</v>
      </c>
      <c r="BB178" s="125">
        <f>AI178*Valores!$C$80</f>
        <v>43429.00330999999</v>
      </c>
      <c r="BC178" s="125">
        <f>AI178*Valores!$C$81</f>
        <v>6204.143329999999</v>
      </c>
      <c r="BD178" s="125">
        <f>AI178*Valores!$C$83</f>
        <v>21714.501654999996</v>
      </c>
      <c r="BE178" s="125">
        <f>AI178*Valores!$C$85</f>
        <v>33502.37398199999</v>
      </c>
      <c r="BF178" s="125">
        <f>AI178*Valores!$C$84</f>
        <v>3722.485997999999</v>
      </c>
      <c r="BG178" s="126"/>
      <c r="BH178" s="126">
        <v>18</v>
      </c>
      <c r="BI178" s="123" t="s">
        <v>4</v>
      </c>
    </row>
    <row r="179" spans="1:61" s="110" customFormat="1" ht="11.25" customHeight="1">
      <c r="A179" s="123" t="s">
        <v>441</v>
      </c>
      <c r="B179" s="123">
        <v>1</v>
      </c>
      <c r="C179" s="126">
        <v>172</v>
      </c>
      <c r="D179" s="124" t="s">
        <v>442</v>
      </c>
      <c r="E179" s="192">
        <v>213</v>
      </c>
      <c r="F179" s="125">
        <f>ROUND(E179*Valores!$C$2,2)</f>
        <v>17632.14</v>
      </c>
      <c r="G179" s="192">
        <f>1835</f>
        <v>1835</v>
      </c>
      <c r="H179" s="125">
        <f>ROUND(G179*Valores!$C$2,2)</f>
        <v>151901.3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107614</v>
      </c>
      <c r="M179" s="125">
        <f>ROUND(IF($H$2=0,IF(AND(A179&lt;&gt;"13-930",A179&lt;&gt;"13-940"),(SUM(F179,H179,J179,L179,X179,T179,R179)*Valores!$C$4),0),0),2)</f>
        <v>90189.38</v>
      </c>
      <c r="N179" s="125">
        <f t="shared" si="21"/>
        <v>0</v>
      </c>
      <c r="O179" s="125">
        <f>Valores!$C$9</f>
        <v>104016.7</v>
      </c>
      <c r="P179" s="125">
        <f>Valores!$D$5</f>
        <v>42317.14</v>
      </c>
      <c r="Q179" s="125">
        <f>Valores!$C$22</f>
        <v>37751.3</v>
      </c>
      <c r="R179" s="125">
        <f>IF($F$4="NO",Valores!$C$48,Valores!$C$48/2)</f>
        <v>44235.76</v>
      </c>
      <c r="S179" s="125">
        <f>Valores!$C$19</f>
        <v>39374.32</v>
      </c>
      <c r="T179" s="125">
        <f t="shared" si="28"/>
        <v>39374.32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Valores!$C$98</f>
        <v>115888.34</v>
      </c>
      <c r="AA179" s="125">
        <f>Valores!$C$25</f>
        <v>1730.69</v>
      </c>
      <c r="AB179" s="214">
        <v>0</v>
      </c>
      <c r="AC179" s="125">
        <f t="shared" si="22"/>
        <v>0</v>
      </c>
      <c r="AD179" s="125">
        <f>Valores!$C$26</f>
        <v>1730.69</v>
      </c>
      <c r="AE179" s="192">
        <v>0</v>
      </c>
      <c r="AF179" s="125">
        <f>ROUND(AE179*Valores!$C$2,2)</f>
        <v>0</v>
      </c>
      <c r="AG179" s="125">
        <f>ROUND(IF($F$4="NO",Valores!$C$64,Valores!$C$64/2),2)</f>
        <v>19786.28</v>
      </c>
      <c r="AH179" s="125">
        <f>SUM(F179,H179,J179,L179,M179,N179,O179,P179,Q179,R179,T179,U179,V179,X179,Y179,Z179,AA179,AC179,AD179,AF179,AG179)*Valores!$C$104</f>
        <v>77416.80399999999</v>
      </c>
      <c r="AI179" s="125">
        <f t="shared" si="25"/>
        <v>851584.8439999999</v>
      </c>
      <c r="AJ179" s="125">
        <f>Valores!$C$32</f>
        <v>70000</v>
      </c>
      <c r="AK179" s="125">
        <v>0</v>
      </c>
      <c r="AL179" s="125">
        <f>Valores!$C$91</f>
        <v>0</v>
      </c>
      <c r="AM179" s="125">
        <f>Valores!C$39*B179</f>
        <v>0</v>
      </c>
      <c r="AN179" s="125">
        <f>IF($F$3="NO",0,Valores!$C$56)</f>
        <v>0</v>
      </c>
      <c r="AO179" s="125">
        <f t="shared" si="23"/>
        <v>70000</v>
      </c>
      <c r="AP179" s="125">
        <f>AI179*Valores!$C$72</f>
        <v>-93674.33283999999</v>
      </c>
      <c r="AQ179" s="125">
        <f>IF(AI179&lt;Valores!$E$73,-0.02,IF(AI179&lt;Valores!$F$73,-0.03,-0.04))*AI179</f>
        <v>-25547.545319999997</v>
      </c>
      <c r="AR179" s="125">
        <f>AI179*Valores!$C$75</f>
        <v>-46837.166419999994</v>
      </c>
      <c r="AS179" s="125">
        <f>Valores!$C$102</f>
        <v>-1270.16</v>
      </c>
      <c r="AT179" s="125">
        <f>IF($F$5=0,Valores!$C$103,(Valores!$C$103+$F$5*(Valores!$C$103)))</f>
        <v>-11714</v>
      </c>
      <c r="AU179" s="125">
        <f t="shared" si="26"/>
        <v>742541.6394199999</v>
      </c>
      <c r="AV179" s="125">
        <f t="shared" si="20"/>
        <v>-93674.33283999999</v>
      </c>
      <c r="AW179" s="125">
        <f t="shared" si="27"/>
        <v>-25547.545319999997</v>
      </c>
      <c r="AX179" s="125">
        <f>AI179*Valores!$C$76</f>
        <v>-22992.790788</v>
      </c>
      <c r="AY179" s="125">
        <f>AI179*Valores!$C$77</f>
        <v>-2554.754532</v>
      </c>
      <c r="AZ179" s="125">
        <f t="shared" si="24"/>
        <v>776815.4205199999</v>
      </c>
      <c r="BA179" s="125">
        <f>AI179*Valores!$C$79</f>
        <v>136253.57504</v>
      </c>
      <c r="BB179" s="125">
        <f>AI179*Valores!$C$80</f>
        <v>59610.939080000004</v>
      </c>
      <c r="BC179" s="125">
        <f>AI179*Valores!$C$81</f>
        <v>8515.84844</v>
      </c>
      <c r="BD179" s="125">
        <f>AI179*Valores!$C$83</f>
        <v>29805.469540000002</v>
      </c>
      <c r="BE179" s="125">
        <f>AI179*Valores!$C$85</f>
        <v>45985.581576</v>
      </c>
      <c r="BF179" s="125">
        <f>AI179*Valores!$C$84</f>
        <v>5109.509064</v>
      </c>
      <c r="BG179" s="126"/>
      <c r="BH179" s="126">
        <v>45</v>
      </c>
      <c r="BI179" s="123" t="s">
        <v>4</v>
      </c>
    </row>
    <row r="180" spans="1:61" s="110" customFormat="1" ht="11.25" customHeight="1">
      <c r="A180" s="123" t="s">
        <v>443</v>
      </c>
      <c r="B180" s="123">
        <v>1</v>
      </c>
      <c r="C180" s="126">
        <v>173</v>
      </c>
      <c r="D180" s="124" t="s">
        <v>444</v>
      </c>
      <c r="E180" s="192">
        <v>185</v>
      </c>
      <c r="F180" s="125">
        <f>ROUND(E180*Valores!$C$2,2)</f>
        <v>15314.3</v>
      </c>
      <c r="G180" s="192">
        <f>1835</f>
        <v>1835</v>
      </c>
      <c r="H180" s="125">
        <f>ROUND(G180*Valores!$C$2,2)</f>
        <v>151901.3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107614</v>
      </c>
      <c r="M180" s="125">
        <f>ROUND(IF($H$2=0,IF(AND(A180&lt;&gt;"13-930",A180&lt;&gt;"13-940"),(SUM(F180,H180,J180,L180,X180,T180,R180)*Valores!$C$4),0),0),2)</f>
        <v>89609.92</v>
      </c>
      <c r="N180" s="125">
        <f t="shared" si="21"/>
        <v>0</v>
      </c>
      <c r="O180" s="125">
        <f>Valores!$C$9</f>
        <v>104016.7</v>
      </c>
      <c r="P180" s="125">
        <f>Valores!$D$5</f>
        <v>42317.14</v>
      </c>
      <c r="Q180" s="125">
        <f>Valores!$C$22</f>
        <v>37751.3</v>
      </c>
      <c r="R180" s="125">
        <f>IF($F$4="NO",Valores!$C$48,Valores!$C$48/2)</f>
        <v>44235.76</v>
      </c>
      <c r="S180" s="125">
        <f>Valores!$C$19</f>
        <v>39374.32</v>
      </c>
      <c r="T180" s="125">
        <f t="shared" si="28"/>
        <v>39374.32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Valores!$C$98</f>
        <v>115888.34</v>
      </c>
      <c r="AA180" s="125">
        <f>Valores!$C$25</f>
        <v>1730.69</v>
      </c>
      <c r="AB180" s="214">
        <v>0</v>
      </c>
      <c r="AC180" s="125">
        <f t="shared" si="22"/>
        <v>0</v>
      </c>
      <c r="AD180" s="125">
        <f>Valores!$C$26</f>
        <v>1730.69</v>
      </c>
      <c r="AE180" s="192">
        <v>0</v>
      </c>
      <c r="AF180" s="125">
        <f>ROUND(AE180*Valores!$C$2,2)</f>
        <v>0</v>
      </c>
      <c r="AG180" s="125">
        <f>ROUND(IF($F$4="NO",Valores!$C$64,Valores!$C$64/2),2)</f>
        <v>19786.28</v>
      </c>
      <c r="AH180" s="125">
        <f>SUM(F180,H180,J180,L180,M180,N180,O180,P180,Q180,R180,T180,U180,V180,X180,Y180,Z180,AA180,AC180,AD180,AF180,AG180)*Valores!$C$104</f>
        <v>77127.074</v>
      </c>
      <c r="AI180" s="125">
        <f t="shared" si="25"/>
        <v>848397.8139999999</v>
      </c>
      <c r="AJ180" s="125">
        <f>Valores!$C$32</f>
        <v>70000</v>
      </c>
      <c r="AK180" s="125">
        <v>0</v>
      </c>
      <c r="AL180" s="125">
        <f>Valores!$C$91</f>
        <v>0</v>
      </c>
      <c r="AM180" s="125">
        <f>Valores!C$39*B180</f>
        <v>0</v>
      </c>
      <c r="AN180" s="125">
        <f>IF($F$3="NO",0,Valores!$C$56)</f>
        <v>0</v>
      </c>
      <c r="AO180" s="125">
        <f t="shared" si="23"/>
        <v>70000</v>
      </c>
      <c r="AP180" s="125">
        <f>AI180*Valores!$C$72</f>
        <v>-93323.75953999998</v>
      </c>
      <c r="AQ180" s="125">
        <f>IF(AI180&lt;Valores!$E$73,-0.02,IF(AI180&lt;Valores!$F$73,-0.03,-0.04))*AI180</f>
        <v>-25451.934419999998</v>
      </c>
      <c r="AR180" s="125">
        <f>AI180*Valores!$C$75</f>
        <v>-46661.87976999999</v>
      </c>
      <c r="AS180" s="125">
        <f>Valores!$C$102</f>
        <v>-1270.16</v>
      </c>
      <c r="AT180" s="125">
        <f>IF($F$5=0,Valores!$C$103,(Valores!$C$103+$F$5*(Valores!$C$103)))</f>
        <v>-11714</v>
      </c>
      <c r="AU180" s="125">
        <f t="shared" si="26"/>
        <v>739976.0802699999</v>
      </c>
      <c r="AV180" s="125">
        <f t="shared" si="20"/>
        <v>-93323.75953999998</v>
      </c>
      <c r="AW180" s="125">
        <f t="shared" si="27"/>
        <v>-25451.934419999998</v>
      </c>
      <c r="AX180" s="125">
        <f>AI180*Valores!$C$76</f>
        <v>-22906.740977999998</v>
      </c>
      <c r="AY180" s="125">
        <f>AI180*Valores!$C$77</f>
        <v>-2545.193442</v>
      </c>
      <c r="AZ180" s="125">
        <f t="shared" si="24"/>
        <v>774170.1856199999</v>
      </c>
      <c r="BA180" s="125">
        <f>AI180*Valores!$C$79</f>
        <v>135743.65024</v>
      </c>
      <c r="BB180" s="125">
        <f>AI180*Valores!$C$80</f>
        <v>59387.846979999995</v>
      </c>
      <c r="BC180" s="125">
        <f>AI180*Valores!$C$81</f>
        <v>8483.97814</v>
      </c>
      <c r="BD180" s="125">
        <f>AI180*Valores!$C$83</f>
        <v>29693.923489999997</v>
      </c>
      <c r="BE180" s="125">
        <f>AI180*Valores!$C$85</f>
        <v>45813.481955999996</v>
      </c>
      <c r="BF180" s="125">
        <f>AI180*Valores!$C$84</f>
        <v>5090.386884</v>
      </c>
      <c r="BG180" s="126"/>
      <c r="BH180" s="126">
        <v>45</v>
      </c>
      <c r="BI180" s="123" t="s">
        <v>4</v>
      </c>
    </row>
    <row r="181" spans="1:61" s="110" customFormat="1" ht="11.25" customHeight="1">
      <c r="A181" s="123" t="s">
        <v>445</v>
      </c>
      <c r="B181" s="123">
        <v>1</v>
      </c>
      <c r="C181" s="126">
        <v>174</v>
      </c>
      <c r="D181" s="124" t="s">
        <v>446</v>
      </c>
      <c r="E181" s="192">
        <v>160</v>
      </c>
      <c r="F181" s="125">
        <f>ROUND(E181*Valores!$C$2,2)</f>
        <v>13244.8</v>
      </c>
      <c r="G181" s="192">
        <f>1484</f>
        <v>1484</v>
      </c>
      <c r="H181" s="125">
        <f>ROUND(G181*Valores!$C$2,2)</f>
        <v>122845.52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107614</v>
      </c>
      <c r="M181" s="125">
        <f>ROUND(IF($H$2=0,IF(AND(A181&lt;&gt;"13-930",A181&lt;&gt;"13-940"),(SUM(F181,H181,J181,L181,X181,T181,R181)*Valores!$C$4),0),0),2)</f>
        <v>81828.6</v>
      </c>
      <c r="N181" s="125">
        <f t="shared" si="21"/>
        <v>0</v>
      </c>
      <c r="O181" s="125">
        <f>Valores!$C$9</f>
        <v>104016.7</v>
      </c>
      <c r="P181" s="125">
        <f>Valores!$D$5</f>
        <v>42317.14</v>
      </c>
      <c r="Q181" s="125">
        <f>Valores!$C$22</f>
        <v>37751.3</v>
      </c>
      <c r="R181" s="125">
        <f>IF($F$4="NO",Valores!$C$48,Valores!$C$48/2)</f>
        <v>44235.76</v>
      </c>
      <c r="S181" s="125">
        <f>Valores!$C$19</f>
        <v>39374.32</v>
      </c>
      <c r="T181" s="125">
        <f t="shared" si="28"/>
        <v>39374.32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Valores!$C$98</f>
        <v>115888.34</v>
      </c>
      <c r="AA181" s="125">
        <f>Valores!$C$25</f>
        <v>1730.69</v>
      </c>
      <c r="AB181" s="214">
        <v>0</v>
      </c>
      <c r="AC181" s="125">
        <f t="shared" si="22"/>
        <v>0</v>
      </c>
      <c r="AD181" s="125">
        <f>Valores!$C$26</f>
        <v>1730.69</v>
      </c>
      <c r="AE181" s="192">
        <v>0</v>
      </c>
      <c r="AF181" s="125">
        <f>ROUND(AE181*Valores!$C$2,2)</f>
        <v>0</v>
      </c>
      <c r="AG181" s="125">
        <f>ROUND(IF($F$4="NO",Valores!$C$64,Valores!$C$64/2),2)</f>
        <v>19786.28</v>
      </c>
      <c r="AH181" s="125">
        <f>SUM(F181,H181,J181,L181,M181,N181,O181,P181,Q181,R181,T181,U181,V181,X181,Y181,Z181,AA181,AC181,AD181,AF181,AG181)*Valores!$C$104</f>
        <v>73236.41399999999</v>
      </c>
      <c r="AI181" s="125">
        <f t="shared" si="25"/>
        <v>805600.5539999999</v>
      </c>
      <c r="AJ181" s="125">
        <f>Valores!$C$32</f>
        <v>70000</v>
      </c>
      <c r="AK181" s="125">
        <v>0</v>
      </c>
      <c r="AL181" s="125">
        <f>Valores!$C$91</f>
        <v>0</v>
      </c>
      <c r="AM181" s="125">
        <f>Valores!C$39*B181</f>
        <v>0</v>
      </c>
      <c r="AN181" s="125">
        <f>IF($F$3="NO",0,Valores!$C$56)</f>
        <v>0</v>
      </c>
      <c r="AO181" s="125">
        <f t="shared" si="23"/>
        <v>70000</v>
      </c>
      <c r="AP181" s="125">
        <f>AI181*Valores!$C$72</f>
        <v>-88616.06093999998</v>
      </c>
      <c r="AQ181" s="125">
        <f>IF(AI181&lt;Valores!$E$73,-0.02,IF(AI181&lt;Valores!$F$73,-0.03,-0.04))*AI181</f>
        <v>-24168.016619999995</v>
      </c>
      <c r="AR181" s="125">
        <f>AI181*Valores!$C$75</f>
        <v>-44308.03046999999</v>
      </c>
      <c r="AS181" s="125">
        <f>Valores!$C$102</f>
        <v>-1270.16</v>
      </c>
      <c r="AT181" s="125">
        <f>IF($F$5=0,Valores!$C$103,(Valores!$C$103+$F$5*(Valores!$C$103)))</f>
        <v>-11714</v>
      </c>
      <c r="AU181" s="125">
        <f t="shared" si="26"/>
        <v>705524.2859699999</v>
      </c>
      <c r="AV181" s="125">
        <f t="shared" si="20"/>
        <v>-88616.06093999998</v>
      </c>
      <c r="AW181" s="125">
        <f t="shared" si="27"/>
        <v>-24168.016619999995</v>
      </c>
      <c r="AX181" s="125">
        <f>AI181*Valores!$C$76</f>
        <v>-21751.214957999997</v>
      </c>
      <c r="AY181" s="125">
        <f>AI181*Valores!$C$77</f>
        <v>-2416.801662</v>
      </c>
      <c r="AZ181" s="125">
        <f t="shared" si="24"/>
        <v>738648.4598199999</v>
      </c>
      <c r="BA181" s="125">
        <f>AI181*Valores!$C$79</f>
        <v>128896.08863999999</v>
      </c>
      <c r="BB181" s="125">
        <f>AI181*Valores!$C$80</f>
        <v>56392.038779999995</v>
      </c>
      <c r="BC181" s="125">
        <f>AI181*Valores!$C$81</f>
        <v>8056.005539999999</v>
      </c>
      <c r="BD181" s="125">
        <f>AI181*Valores!$C$83</f>
        <v>28196.019389999998</v>
      </c>
      <c r="BE181" s="125">
        <f>AI181*Valores!$C$85</f>
        <v>43502.429915999994</v>
      </c>
      <c r="BF181" s="125">
        <f>AI181*Valores!$C$84</f>
        <v>4833.603324</v>
      </c>
      <c r="BG181" s="126"/>
      <c r="BH181" s="126">
        <v>45</v>
      </c>
      <c r="BI181" s="123" t="s">
        <v>4</v>
      </c>
    </row>
    <row r="182" spans="1:61" s="110" customFormat="1" ht="11.25" customHeight="1">
      <c r="A182" s="123" t="s">
        <v>447</v>
      </c>
      <c r="B182" s="123">
        <v>1</v>
      </c>
      <c r="C182" s="126">
        <v>175</v>
      </c>
      <c r="D182" s="124" t="s">
        <v>448</v>
      </c>
      <c r="E182" s="192">
        <v>1278</v>
      </c>
      <c r="F182" s="125">
        <f>ROUND(E182*Valores!$C$2,2)</f>
        <v>105792.84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99336</v>
      </c>
      <c r="M182" s="125">
        <f>ROUND(IF($H$2=0,IF(AND(A182&lt;&gt;"13-930",A182&lt;&gt;"13-940"),(SUM(F182,H182,J182,L182,X182,T182,R182)*Valores!$C$4),0),0),2)</f>
        <v>72184.73</v>
      </c>
      <c r="N182" s="125">
        <f t="shared" si="21"/>
        <v>0</v>
      </c>
      <c r="O182" s="125">
        <f>Valores!$C$16</f>
        <v>71528.26</v>
      </c>
      <c r="P182" s="125">
        <f>Valores!$D$5</f>
        <v>42317.14</v>
      </c>
      <c r="Q182" s="125">
        <f>Valores!$C$22</f>
        <v>37751.3</v>
      </c>
      <c r="R182" s="125">
        <f>IF($F$4="NO",Valores!$C$48,Valores!$C$48/2)</f>
        <v>44235.76</v>
      </c>
      <c r="S182" s="125">
        <f>Valores!$C$19</f>
        <v>39374.32</v>
      </c>
      <c r="T182" s="125">
        <f t="shared" si="28"/>
        <v>39374.32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Valores!$C$98</f>
        <v>115888.34</v>
      </c>
      <c r="AA182" s="125">
        <f>Valores!$C$25</f>
        <v>1730.69</v>
      </c>
      <c r="AB182" s="214">
        <v>0</v>
      </c>
      <c r="AC182" s="125">
        <f t="shared" si="22"/>
        <v>0</v>
      </c>
      <c r="AD182" s="125">
        <f>Valores!$C$26</f>
        <v>1730.69</v>
      </c>
      <c r="AE182" s="192">
        <v>0</v>
      </c>
      <c r="AF182" s="125">
        <f>ROUND(AE182*Valores!$C$2,2)</f>
        <v>0</v>
      </c>
      <c r="AG182" s="125">
        <f>ROUND(IF($F$4="NO",Valores!$C$64,Valores!$C$64/2),2)</f>
        <v>19786.28</v>
      </c>
      <c r="AH182" s="125">
        <f>SUM(F182,H182,J182,L182,M182,N182,O182,P182,Q182,R182,T182,U182,V182,X182,Y182,Z182,AA182,AC182,AD182,AF182,AG182)*Valores!$C$104</f>
        <v>65165.635</v>
      </c>
      <c r="AI182" s="125">
        <f t="shared" si="25"/>
        <v>716821.985</v>
      </c>
      <c r="AJ182" s="125">
        <f>Valores!$C$32</f>
        <v>70000</v>
      </c>
      <c r="AK182" s="125">
        <v>0</v>
      </c>
      <c r="AL182" s="125">
        <f>Valores!$C$91</f>
        <v>0</v>
      </c>
      <c r="AM182" s="125">
        <f>Valores!C$39*B182</f>
        <v>0</v>
      </c>
      <c r="AN182" s="125">
        <f>IF($F$3="NO",0,Valores!$C$56)</f>
        <v>0</v>
      </c>
      <c r="AO182" s="125">
        <f t="shared" si="23"/>
        <v>70000</v>
      </c>
      <c r="AP182" s="125">
        <f>AI182*Valores!$C$72</f>
        <v>-78850.41834999999</v>
      </c>
      <c r="AQ182" s="125">
        <f>IF(AI182&lt;Valores!$E$73,-0.02,IF(AI182&lt;Valores!$F$73,-0.03,-0.04))*AI182</f>
        <v>-14336.4397</v>
      </c>
      <c r="AR182" s="125">
        <f>AI182*Valores!$C$75</f>
        <v>-39425.209174999996</v>
      </c>
      <c r="AS182" s="125">
        <f>Valores!$C$102</f>
        <v>-1270.16</v>
      </c>
      <c r="AT182" s="125">
        <f>IF($F$5=0,Valores!$C$103,(Valores!$C$103+$F$5*(Valores!$C$103)))</f>
        <v>-11714</v>
      </c>
      <c r="AU182" s="125">
        <f t="shared" si="26"/>
        <v>641225.757775</v>
      </c>
      <c r="AV182" s="125">
        <f t="shared" si="20"/>
        <v>-78850.41834999999</v>
      </c>
      <c r="AW182" s="125">
        <f t="shared" si="27"/>
        <v>-14336.4397</v>
      </c>
      <c r="AX182" s="125">
        <f>AI182*Valores!$C$76</f>
        <v>-19354.193595</v>
      </c>
      <c r="AY182" s="125">
        <f>AI182*Valores!$C$77</f>
        <v>-2150.465955</v>
      </c>
      <c r="AZ182" s="125">
        <f t="shared" si="24"/>
        <v>672130.4674</v>
      </c>
      <c r="BA182" s="125">
        <f>AI182*Valores!$C$79</f>
        <v>114691.5176</v>
      </c>
      <c r="BB182" s="125">
        <f>AI182*Valores!$C$80</f>
        <v>50177.53895</v>
      </c>
      <c r="BC182" s="125">
        <f>AI182*Valores!$C$81</f>
        <v>7168.21985</v>
      </c>
      <c r="BD182" s="125">
        <f>AI182*Valores!$C$83</f>
        <v>25088.769475</v>
      </c>
      <c r="BE182" s="125">
        <f>AI182*Valores!$C$85</f>
        <v>38708.38719</v>
      </c>
      <c r="BF182" s="125">
        <f>AI182*Valores!$C$84</f>
        <v>4300.93191</v>
      </c>
      <c r="BG182" s="126"/>
      <c r="BH182" s="126"/>
      <c r="BI182" s="123" t="s">
        <v>4</v>
      </c>
    </row>
    <row r="183" spans="1:61" s="110" customFormat="1" ht="11.25" customHeight="1">
      <c r="A183" s="123" t="s">
        <v>449</v>
      </c>
      <c r="B183" s="123">
        <v>1</v>
      </c>
      <c r="C183" s="126">
        <v>176</v>
      </c>
      <c r="D183" s="124" t="s">
        <v>450</v>
      </c>
      <c r="E183" s="192">
        <v>971</v>
      </c>
      <c r="F183" s="125">
        <f>ROUND(E183*Valores!$C$2,2)</f>
        <v>80379.38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54634.8</v>
      </c>
      <c r="M183" s="125">
        <f>ROUND(IF($H$2=0,IF(AND(A183&lt;&gt;"13-930",A183&lt;&gt;"13-940"),(SUM(F183,H183,J183,L183,X183,T183,R183)*Valores!$C$4),0),0),2)</f>
        <v>54656.07</v>
      </c>
      <c r="N183" s="125">
        <f t="shared" si="21"/>
        <v>0</v>
      </c>
      <c r="O183" s="125">
        <f>Valores!$C$16</f>
        <v>71528.26</v>
      </c>
      <c r="P183" s="125">
        <f>Valores!$D$5</f>
        <v>42317.14</v>
      </c>
      <c r="Q183" s="125">
        <f>Valores!$C$23</f>
        <v>35136.41</v>
      </c>
      <c r="R183" s="125">
        <f>IF($F$4="NO",Valores!$C$48,Valores!$C$48/2)</f>
        <v>44235.76</v>
      </c>
      <c r="S183" s="125">
        <f>Valores!$C$19</f>
        <v>39374.32</v>
      </c>
      <c r="T183" s="125">
        <f t="shared" si="28"/>
        <v>39374.32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Valores!$C$98</f>
        <v>115888.34</v>
      </c>
      <c r="AA183" s="125">
        <f>Valores!$C$25</f>
        <v>1730.69</v>
      </c>
      <c r="AB183" s="214">
        <v>0</v>
      </c>
      <c r="AC183" s="125">
        <f t="shared" si="22"/>
        <v>0</v>
      </c>
      <c r="AD183" s="125">
        <f>Valores!$C$26</f>
        <v>1730.69</v>
      </c>
      <c r="AE183" s="192">
        <v>0</v>
      </c>
      <c r="AF183" s="125">
        <f>ROUND(AE183*Valores!$C$2,2)</f>
        <v>0</v>
      </c>
      <c r="AG183" s="125">
        <f>ROUND(IF($F$4="NO",Valores!$C$64,Valores!$C$64/2),2)</f>
        <v>19786.28</v>
      </c>
      <c r="AH183" s="125">
        <f>SUM(F183,H183,J183,L183,M183,N183,O183,P183,Q183,R183,T183,U183,V183,X183,Y183,Z183,AA183,AC183,AD183,AF183,AG183)*Valores!$C$104</f>
        <v>56139.814000000006</v>
      </c>
      <c r="AI183" s="125">
        <f t="shared" si="25"/>
        <v>617537.954</v>
      </c>
      <c r="AJ183" s="125">
        <f>Valores!$C$31</f>
        <v>35000</v>
      </c>
      <c r="AK183" s="125">
        <v>0</v>
      </c>
      <c r="AL183" s="125">
        <f>Valores!$C$91</f>
        <v>0</v>
      </c>
      <c r="AM183" s="125">
        <f>Valores!C$39*B183</f>
        <v>0</v>
      </c>
      <c r="AN183" s="125">
        <f>IF($F$3="NO",0,Valores!$C$56)</f>
        <v>0</v>
      </c>
      <c r="AO183" s="125">
        <f t="shared" si="23"/>
        <v>35000</v>
      </c>
      <c r="AP183" s="125">
        <f>AI183*Valores!$C$72</f>
        <v>-67929.17494</v>
      </c>
      <c r="AQ183" s="125">
        <f>IF(AI183&lt;Valores!$E$73,-0.02,IF(AI183&lt;Valores!$F$73,-0.03,-0.04))*AI183</f>
        <v>-12350.759080000002</v>
      </c>
      <c r="AR183" s="125">
        <f>AI183*Valores!$C$75</f>
        <v>-33964.58747</v>
      </c>
      <c r="AS183" s="125">
        <f>Valores!$C$102</f>
        <v>-1270.16</v>
      </c>
      <c r="AT183" s="125">
        <f>IF($F$5=0,Valores!$C$103,(Valores!$C$103+$F$5*(Valores!$C$103)))</f>
        <v>-11714</v>
      </c>
      <c r="AU183" s="125">
        <f t="shared" si="26"/>
        <v>525309.27251</v>
      </c>
      <c r="AV183" s="125">
        <f t="shared" si="20"/>
        <v>-67929.17494</v>
      </c>
      <c r="AW183" s="125">
        <f t="shared" si="27"/>
        <v>-12350.759080000002</v>
      </c>
      <c r="AX183" s="125">
        <f>AI183*Valores!$C$76</f>
        <v>-16673.524758</v>
      </c>
      <c r="AY183" s="125">
        <f>AI183*Valores!$C$77</f>
        <v>-1852.6138620000002</v>
      </c>
      <c r="AZ183" s="125">
        <f t="shared" si="24"/>
        <v>553731.88136</v>
      </c>
      <c r="BA183" s="125">
        <f>AI183*Valores!$C$79</f>
        <v>98806.07264000001</v>
      </c>
      <c r="BB183" s="125">
        <f>AI183*Valores!$C$80</f>
        <v>43227.656780000005</v>
      </c>
      <c r="BC183" s="125">
        <f>AI183*Valores!$C$81</f>
        <v>6175.379540000001</v>
      </c>
      <c r="BD183" s="125">
        <f>AI183*Valores!$C$83</f>
        <v>21613.828390000002</v>
      </c>
      <c r="BE183" s="125">
        <f>AI183*Valores!$C$85</f>
        <v>33347.049516</v>
      </c>
      <c r="BF183" s="125">
        <f>AI183*Valores!$C$84</f>
        <v>3705.2277240000003</v>
      </c>
      <c r="BG183" s="126"/>
      <c r="BH183" s="126">
        <v>18</v>
      </c>
      <c r="BI183" s="123" t="s">
        <v>4</v>
      </c>
    </row>
    <row r="184" spans="1:61" s="110" customFormat="1" ht="11.25" customHeight="1">
      <c r="A184" s="123" t="s">
        <v>451</v>
      </c>
      <c r="B184" s="123">
        <v>1</v>
      </c>
      <c r="C184" s="126">
        <v>177</v>
      </c>
      <c r="D184" s="124" t="s">
        <v>452</v>
      </c>
      <c r="E184" s="192">
        <v>179</v>
      </c>
      <c r="F184" s="125">
        <f>ROUND(E184*Valores!$C$2,2)</f>
        <v>14817.62</v>
      </c>
      <c r="G184" s="192">
        <f>1323</f>
        <v>1323</v>
      </c>
      <c r="H184" s="125">
        <f>ROUND(G184*Valores!$C$2,2)</f>
        <v>109517.94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107614</v>
      </c>
      <c r="M184" s="125">
        <f>ROUND(IF($H$2=0,IF(AND(A184&lt;&gt;"13-930",A184&lt;&gt;"13-940"),(SUM(F184,H184,J184,L184,X184,T184,R184)*Valores!$C$4),0),0),2)</f>
        <v>78889.91</v>
      </c>
      <c r="N184" s="125">
        <f t="shared" si="21"/>
        <v>0</v>
      </c>
      <c r="O184" s="125">
        <f>Valores!$C$9</f>
        <v>104016.7</v>
      </c>
      <c r="P184" s="125">
        <f>Valores!$D$5</f>
        <v>42317.14</v>
      </c>
      <c r="Q184" s="125">
        <f>Valores!$C$22</f>
        <v>37751.3</v>
      </c>
      <c r="R184" s="125">
        <f>IF($F$4="NO",Valores!$C$48,Valores!$C$48/2)</f>
        <v>44235.76</v>
      </c>
      <c r="S184" s="125">
        <f>Valores!$C$19</f>
        <v>39374.32</v>
      </c>
      <c r="T184" s="125">
        <f t="shared" si="28"/>
        <v>39374.32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Valores!$C$98</f>
        <v>115888.34</v>
      </c>
      <c r="AA184" s="125">
        <f>Valores!$C$25</f>
        <v>1730.69</v>
      </c>
      <c r="AB184" s="214">
        <v>0</v>
      </c>
      <c r="AC184" s="125">
        <f t="shared" si="22"/>
        <v>0</v>
      </c>
      <c r="AD184" s="125">
        <f>Valores!$C$26</f>
        <v>1730.69</v>
      </c>
      <c r="AE184" s="192">
        <v>0</v>
      </c>
      <c r="AF184" s="125">
        <f>ROUND(AE184*Valores!$C$2,2)</f>
        <v>0</v>
      </c>
      <c r="AG184" s="125">
        <f>ROUND(IF($F$4="NO",Valores!$C$64,Valores!$C$64/2),2)</f>
        <v>19786.28</v>
      </c>
      <c r="AH184" s="125">
        <f>SUM(F184,H184,J184,L184,M184,N184,O184,P184,Q184,R184,T184,U184,V184,X184,Y184,Z184,AA184,AC184,AD184,AF184,AG184)*Valores!$C$104</f>
        <v>71767.06899999999</v>
      </c>
      <c r="AI184" s="125">
        <f t="shared" si="25"/>
        <v>789437.7589999998</v>
      </c>
      <c r="AJ184" s="125">
        <f>Valores!$C$32</f>
        <v>70000</v>
      </c>
      <c r="AK184" s="125">
        <v>0</v>
      </c>
      <c r="AL184" s="125">
        <f>Valores!$C$91</f>
        <v>0</v>
      </c>
      <c r="AM184" s="125">
        <f>Valores!C$39*B184</f>
        <v>0</v>
      </c>
      <c r="AN184" s="125">
        <v>0</v>
      </c>
      <c r="AO184" s="125">
        <f t="shared" si="23"/>
        <v>70000</v>
      </c>
      <c r="AP184" s="125">
        <f>AI184*Valores!$C$72</f>
        <v>-86838.15348999998</v>
      </c>
      <c r="AQ184" s="125">
        <f>IF(AI184&lt;Valores!$E$73,-0.02,IF(AI184&lt;Valores!$F$73,-0.03,-0.04))*AI184</f>
        <v>-23683.132769999993</v>
      </c>
      <c r="AR184" s="125">
        <f>AI184*Valores!$C$75</f>
        <v>-43419.07674499999</v>
      </c>
      <c r="AS184" s="125">
        <f>Valores!$C$102</f>
        <v>-1270.16</v>
      </c>
      <c r="AT184" s="125">
        <f>IF($F$5=0,Valores!$C$103,(Valores!$C$103+$F$5*(Valores!$C$103)))</f>
        <v>-11714</v>
      </c>
      <c r="AU184" s="125">
        <f t="shared" si="26"/>
        <v>692513.2359949999</v>
      </c>
      <c r="AV184" s="125">
        <f t="shared" si="20"/>
        <v>-86838.15348999998</v>
      </c>
      <c r="AW184" s="125">
        <f t="shared" si="27"/>
        <v>-23683.132769999993</v>
      </c>
      <c r="AX184" s="125">
        <f>AI184*Valores!$C$76</f>
        <v>-21314.819492999995</v>
      </c>
      <c r="AY184" s="125">
        <f>AI184*Valores!$C$77</f>
        <v>-2368.3132769999997</v>
      </c>
      <c r="AZ184" s="125">
        <f t="shared" si="24"/>
        <v>725233.3399699999</v>
      </c>
      <c r="BA184" s="125">
        <f>AI184*Valores!$C$79</f>
        <v>126310.04143999997</v>
      </c>
      <c r="BB184" s="125">
        <f>AI184*Valores!$C$80</f>
        <v>55260.64313</v>
      </c>
      <c r="BC184" s="125">
        <f>AI184*Valores!$C$81</f>
        <v>7894.377589999998</v>
      </c>
      <c r="BD184" s="125">
        <f>AI184*Valores!$C$83</f>
        <v>27630.321565</v>
      </c>
      <c r="BE184" s="125">
        <f>AI184*Valores!$C$85</f>
        <v>42629.63898599999</v>
      </c>
      <c r="BF184" s="125">
        <f>AI184*Valores!$C$84</f>
        <v>4736.6265539999995</v>
      </c>
      <c r="BG184" s="126"/>
      <c r="BH184" s="126">
        <v>45</v>
      </c>
      <c r="BI184" s="123" t="s">
        <v>4</v>
      </c>
    </row>
    <row r="185" spans="1:61" s="110" customFormat="1" ht="11.25" customHeight="1">
      <c r="A185" s="123" t="s">
        <v>453</v>
      </c>
      <c r="B185" s="123">
        <v>1</v>
      </c>
      <c r="C185" s="126">
        <v>178</v>
      </c>
      <c r="D185" s="124" t="s">
        <v>454</v>
      </c>
      <c r="E185" s="192">
        <v>64</v>
      </c>
      <c r="F185" s="125">
        <f>ROUND(E185*Valores!$C$2,2)</f>
        <v>5297.92</v>
      </c>
      <c r="G185" s="192">
        <v>1354</v>
      </c>
      <c r="H185" s="125">
        <f>ROUND(G185*Valores!$C$2,2)</f>
        <v>112084.12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99336</v>
      </c>
      <c r="M185" s="125">
        <f>ROUND(IF($H$2=0,IF(AND(A185&lt;&gt;"13-930",A185&lt;&gt;"13-940"),(SUM(F185,H185,J185,L185,X185,T185,R185)*Valores!$C$4),0),0),2)</f>
        <v>74981.39</v>
      </c>
      <c r="N185" s="125">
        <f t="shared" si="21"/>
        <v>0</v>
      </c>
      <c r="O185" s="125">
        <f>Valores!$C$14</f>
        <v>82427.08</v>
      </c>
      <c r="P185" s="125">
        <f>Valores!$D$5</f>
        <v>42317.14</v>
      </c>
      <c r="Q185" s="125">
        <v>0</v>
      </c>
      <c r="R185" s="125">
        <f>IF($F$4="NO",Valores!$C$48,Valores!$C$48/2)</f>
        <v>44235.76</v>
      </c>
      <c r="S185" s="125">
        <f>Valores!$C$20</f>
        <v>38971.76</v>
      </c>
      <c r="T185" s="125">
        <f t="shared" si="28"/>
        <v>38971.76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Valores!$C$98</f>
        <v>115888.34</v>
      </c>
      <c r="AA185" s="125">
        <f>Valores!$C$25</f>
        <v>1730.69</v>
      </c>
      <c r="AB185" s="214">
        <v>0</v>
      </c>
      <c r="AC185" s="125">
        <f t="shared" si="22"/>
        <v>0</v>
      </c>
      <c r="AD185" s="125">
        <f>Valores!$C$26</f>
        <v>1730.69</v>
      </c>
      <c r="AE185" s="192">
        <v>0</v>
      </c>
      <c r="AF185" s="125">
        <f>ROUND(AE185*Valores!$C$2,2)</f>
        <v>0</v>
      </c>
      <c r="AG185" s="125">
        <f>ROUND(IF($F$4="NO",Valores!$C$64,Valores!$C$64/2),2)</f>
        <v>19786.28</v>
      </c>
      <c r="AH185" s="125">
        <f>SUM(F185,H185,J185,L185,M185,N185,O185,P185,Q185,R185,T185,U185,V185,X185,Y185,Z185,AA185,AC185,AD185,AF185,AG185)*Valores!$C$104</f>
        <v>63878.717</v>
      </c>
      <c r="AI185" s="125">
        <f t="shared" si="25"/>
        <v>702665.8869999999</v>
      </c>
      <c r="AJ185" s="125">
        <f>Valores!$C$31</f>
        <v>35000</v>
      </c>
      <c r="AK185" s="125">
        <v>0</v>
      </c>
      <c r="AL185" s="125">
        <f>Valores!$C$91</f>
        <v>0</v>
      </c>
      <c r="AM185" s="125">
        <f>Valores!C$39*B185</f>
        <v>0</v>
      </c>
      <c r="AN185" s="125">
        <v>0</v>
      </c>
      <c r="AO185" s="125">
        <f t="shared" si="23"/>
        <v>35000</v>
      </c>
      <c r="AP185" s="125">
        <f>AI185*Valores!$C$72</f>
        <v>-77293.24756999999</v>
      </c>
      <c r="AQ185" s="125">
        <f>IF(AI185&lt;Valores!$E$73,-0.02,IF(AI185&lt;Valores!$F$73,-0.03,-0.04))*AI185</f>
        <v>-14053.317739999999</v>
      </c>
      <c r="AR185" s="125">
        <f>AI185*Valores!$C$75</f>
        <v>-38646.623784999996</v>
      </c>
      <c r="AS185" s="125">
        <f>Valores!$C$102</f>
        <v>-1270.16</v>
      </c>
      <c r="AT185" s="125">
        <f>IF($F$5=0,Valores!$C$103,(Valores!$C$103+$F$5*(Valores!$C$103)))</f>
        <v>-11714</v>
      </c>
      <c r="AU185" s="125">
        <f t="shared" si="26"/>
        <v>594688.5379049999</v>
      </c>
      <c r="AV185" s="125">
        <f t="shared" si="20"/>
        <v>-77293.24756999999</v>
      </c>
      <c r="AW185" s="125">
        <f t="shared" si="27"/>
        <v>-14053.317739999999</v>
      </c>
      <c r="AX185" s="125">
        <f>AI185*Valores!$C$76</f>
        <v>-18971.978948999997</v>
      </c>
      <c r="AY185" s="125">
        <f>AI185*Valores!$C$77</f>
        <v>-2107.997661</v>
      </c>
      <c r="AZ185" s="125">
        <f t="shared" si="24"/>
        <v>625239.3450799999</v>
      </c>
      <c r="BA185" s="125">
        <f>AI185*Valores!$C$79</f>
        <v>112426.54191999999</v>
      </c>
      <c r="BB185" s="125">
        <f>AI185*Valores!$C$80</f>
        <v>49186.612089999995</v>
      </c>
      <c r="BC185" s="125">
        <f>AI185*Valores!$C$81</f>
        <v>7026.658869999999</v>
      </c>
      <c r="BD185" s="125">
        <f>AI185*Valores!$C$83</f>
        <v>24593.306044999998</v>
      </c>
      <c r="BE185" s="125">
        <f>AI185*Valores!$C$85</f>
        <v>37943.95789799999</v>
      </c>
      <c r="BF185" s="125">
        <f>AI185*Valores!$C$84</f>
        <v>4215.995322</v>
      </c>
      <c r="BG185" s="126"/>
      <c r="BH185" s="126">
        <v>30</v>
      </c>
      <c r="BI185" s="123" t="s">
        <v>8</v>
      </c>
    </row>
    <row r="186" spans="1:61" s="110" customFormat="1" ht="11.25" customHeight="1">
      <c r="A186" s="123" t="s">
        <v>455</v>
      </c>
      <c r="B186" s="123">
        <v>1</v>
      </c>
      <c r="C186" s="126">
        <v>179</v>
      </c>
      <c r="D186" s="124" t="s">
        <v>456</v>
      </c>
      <c r="E186" s="192">
        <v>55</v>
      </c>
      <c r="F186" s="125">
        <f>ROUND(E186*Valores!$C$2,2)</f>
        <v>4552.9</v>
      </c>
      <c r="G186" s="192">
        <v>1279</v>
      </c>
      <c r="H186" s="125">
        <f>ROUND(G186*Valores!$C$2,2)</f>
        <v>105875.62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99336</v>
      </c>
      <c r="M186" s="125">
        <f>ROUND(IF($H$2=0,IF(AND(A186&lt;&gt;"13-930",A186&lt;&gt;"13-940"),(SUM(F186,H186,J186,L186,X186,T186,R186)*Valores!$C$4),0),0),2)</f>
        <v>73343.65</v>
      </c>
      <c r="N186" s="125">
        <f t="shared" si="21"/>
        <v>0</v>
      </c>
      <c r="O186" s="125">
        <f>Valores!$C$16</f>
        <v>71528.26</v>
      </c>
      <c r="P186" s="125">
        <f>Valores!$D$5</f>
        <v>42317.14</v>
      </c>
      <c r="Q186" s="125">
        <v>0</v>
      </c>
      <c r="R186" s="125">
        <f>IF($F$4="NO",Valores!$C$48,Valores!$C$48/2)</f>
        <v>44235.76</v>
      </c>
      <c r="S186" s="125">
        <f>Valores!$C$19</f>
        <v>39374.32</v>
      </c>
      <c r="T186" s="125">
        <f t="shared" si="28"/>
        <v>39374.32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Valores!$C$98</f>
        <v>115888.34</v>
      </c>
      <c r="AA186" s="125">
        <f>Valores!$C$25</f>
        <v>1730.69</v>
      </c>
      <c r="AB186" s="214">
        <v>0</v>
      </c>
      <c r="AC186" s="125">
        <f t="shared" si="22"/>
        <v>0</v>
      </c>
      <c r="AD186" s="125">
        <f>Valores!$C$26</f>
        <v>1730.69</v>
      </c>
      <c r="AE186" s="192">
        <v>0</v>
      </c>
      <c r="AF186" s="125">
        <f>ROUND(AE186*Valores!$C$2,2)</f>
        <v>0</v>
      </c>
      <c r="AG186" s="125">
        <f>ROUND(IF($F$4="NO",Valores!$C$64,Valores!$C$64/2),2)</f>
        <v>19786.28</v>
      </c>
      <c r="AH186" s="125">
        <f>SUM(F186,H186,J186,L186,M186,N186,O186,P186,Q186,R186,T186,U186,V186,X186,Y186,Z186,AA186,AC186,AD186,AF186,AG186)*Valores!$C$104</f>
        <v>61969.965</v>
      </c>
      <c r="AI186" s="125">
        <f t="shared" si="25"/>
        <v>681669.6149999999</v>
      </c>
      <c r="AJ186" s="125">
        <f>Valores!$C$31</f>
        <v>35000</v>
      </c>
      <c r="AK186" s="125">
        <v>0</v>
      </c>
      <c r="AL186" s="125">
        <f>Valores!$C$91</f>
        <v>0</v>
      </c>
      <c r="AM186" s="125">
        <f>Valores!C$39*B186</f>
        <v>0</v>
      </c>
      <c r="AN186" s="125">
        <v>0</v>
      </c>
      <c r="AO186" s="125">
        <f t="shared" si="23"/>
        <v>35000</v>
      </c>
      <c r="AP186" s="125">
        <f>AI186*Valores!$C$72</f>
        <v>-74983.65765</v>
      </c>
      <c r="AQ186" s="125">
        <f>IF(AI186&lt;Valores!$E$73,-0.02,IF(AI186&lt;Valores!$F$73,-0.03,-0.04))*AI186</f>
        <v>-13633.392299999998</v>
      </c>
      <c r="AR186" s="125">
        <f>AI186*Valores!$C$75</f>
        <v>-37491.828825</v>
      </c>
      <c r="AS186" s="125">
        <f>Valores!$C$102</f>
        <v>-1270.16</v>
      </c>
      <c r="AT186" s="125">
        <f>IF($F$5=0,Valores!$C$103,(Valores!$C$103+$F$5*(Valores!$C$103)))</f>
        <v>-11714</v>
      </c>
      <c r="AU186" s="125">
        <f t="shared" si="26"/>
        <v>577576.5762249999</v>
      </c>
      <c r="AV186" s="125">
        <f t="shared" si="20"/>
        <v>-74983.65765</v>
      </c>
      <c r="AW186" s="125">
        <f t="shared" si="27"/>
        <v>-13633.392299999998</v>
      </c>
      <c r="AX186" s="125">
        <f>AI186*Valores!$C$76</f>
        <v>-18405.079604999995</v>
      </c>
      <c r="AY186" s="125">
        <f>AI186*Valores!$C$77</f>
        <v>-2045.0088449999996</v>
      </c>
      <c r="AZ186" s="125">
        <f t="shared" si="24"/>
        <v>607602.4765999999</v>
      </c>
      <c r="BA186" s="125">
        <f>AI186*Valores!$C$79</f>
        <v>109067.13839999998</v>
      </c>
      <c r="BB186" s="125">
        <f>AI186*Valores!$C$80</f>
        <v>47716.873049999995</v>
      </c>
      <c r="BC186" s="125">
        <f>AI186*Valores!$C$81</f>
        <v>6816.696149999999</v>
      </c>
      <c r="BD186" s="125">
        <f>AI186*Valores!$C$83</f>
        <v>23858.436524999997</v>
      </c>
      <c r="BE186" s="125">
        <f>AI186*Valores!$C$85</f>
        <v>36810.15920999999</v>
      </c>
      <c r="BF186" s="125">
        <f>AI186*Valores!$C$84</f>
        <v>4090.017689999999</v>
      </c>
      <c r="BG186" s="126"/>
      <c r="BH186" s="126">
        <v>30</v>
      </c>
      <c r="BI186" s="123" t="s">
        <v>8</v>
      </c>
    </row>
    <row r="187" spans="1:61" s="110" customFormat="1" ht="11.25" customHeight="1">
      <c r="A187" s="123" t="s">
        <v>457</v>
      </c>
      <c r="B187" s="123">
        <v>1</v>
      </c>
      <c r="C187" s="126">
        <v>180</v>
      </c>
      <c r="D187" s="124" t="s">
        <v>458</v>
      </c>
      <c r="E187" s="192">
        <v>1027</v>
      </c>
      <c r="F187" s="125">
        <f>ROUND(E187*Valores!$C$2,2)</f>
        <v>85015.06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99336</v>
      </c>
      <c r="M187" s="125">
        <f>ROUND(IF($H$2=0,IF(AND(A187&lt;&gt;"13-930",A187&lt;&gt;"13-940"),(SUM(F187,H187,J187,L187,X187,T187,R187)*Valores!$C$4),0),0),2)</f>
        <v>66889.65</v>
      </c>
      <c r="N187" s="125">
        <f t="shared" si="21"/>
        <v>0</v>
      </c>
      <c r="O187" s="125">
        <f>Valores!$C$16</f>
        <v>71528.26</v>
      </c>
      <c r="P187" s="125">
        <f>Valores!$D$5</f>
        <v>42317.14</v>
      </c>
      <c r="Q187" s="125">
        <v>0</v>
      </c>
      <c r="R187" s="125">
        <f>IF($F$4="NO",Valores!$C$48,Valores!$C$48/2)</f>
        <v>44235.76</v>
      </c>
      <c r="S187" s="125">
        <f>Valores!$C$20</f>
        <v>38971.76</v>
      </c>
      <c r="T187" s="125">
        <f t="shared" si="28"/>
        <v>38971.76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Valores!$C$98</f>
        <v>115888.34</v>
      </c>
      <c r="AA187" s="125">
        <f>Valores!$C$25</f>
        <v>1730.69</v>
      </c>
      <c r="AB187" s="214">
        <v>0</v>
      </c>
      <c r="AC187" s="125">
        <f t="shared" si="22"/>
        <v>0</v>
      </c>
      <c r="AD187" s="125">
        <f>Valores!$C$26</f>
        <v>1730.69</v>
      </c>
      <c r="AE187" s="192">
        <v>0</v>
      </c>
      <c r="AF187" s="125">
        <f>ROUND(AE187*Valores!$C$2,2)</f>
        <v>0</v>
      </c>
      <c r="AG187" s="125">
        <f>ROUND(IF($F$4="NO",Valores!$C$64,Valores!$C$64/2),2)</f>
        <v>19786.28</v>
      </c>
      <c r="AH187" s="125">
        <f>SUM(F187,H187,J187,L187,M187,N187,O187,P187,Q187,R187,T187,U187,V187,X187,Y187,Z187,AA187,AC187,AD187,AF187,AG187)*Valores!$C$104</f>
        <v>58742.96299999999</v>
      </c>
      <c r="AI187" s="125">
        <f t="shared" si="25"/>
        <v>646172.5929999999</v>
      </c>
      <c r="AJ187" s="125">
        <f>Valores!$C$31</f>
        <v>35000</v>
      </c>
      <c r="AK187" s="125">
        <v>0</v>
      </c>
      <c r="AL187" s="125">
        <f>Valores!$C$91</f>
        <v>0</v>
      </c>
      <c r="AM187" s="125">
        <f>Valores!C$39*B187</f>
        <v>0</v>
      </c>
      <c r="AN187" s="125">
        <v>0</v>
      </c>
      <c r="AO187" s="125">
        <f t="shared" si="23"/>
        <v>35000</v>
      </c>
      <c r="AP187" s="125">
        <f>AI187*Valores!$C$72</f>
        <v>-71078.98522999999</v>
      </c>
      <c r="AQ187" s="125">
        <f>IF(AI187&lt;Valores!$E$73,-0.02,IF(AI187&lt;Valores!$F$73,-0.03,-0.04))*AI187</f>
        <v>-12923.451859999997</v>
      </c>
      <c r="AR187" s="125">
        <f>AI187*Valores!$C$75</f>
        <v>-35539.492614999996</v>
      </c>
      <c r="AS187" s="125">
        <f>Valores!$C$102</f>
        <v>-1270.16</v>
      </c>
      <c r="AT187" s="125">
        <f>IF($F$5=0,Valores!$C$103,(Valores!$C$103+$F$5*(Valores!$C$103)))</f>
        <v>-11714</v>
      </c>
      <c r="AU187" s="125">
        <f t="shared" si="26"/>
        <v>548646.503295</v>
      </c>
      <c r="AV187" s="125">
        <f t="shared" si="20"/>
        <v>-71078.98522999999</v>
      </c>
      <c r="AW187" s="125">
        <f t="shared" si="27"/>
        <v>-12923.451859999997</v>
      </c>
      <c r="AX187" s="125">
        <f>AI187*Valores!$C$76</f>
        <v>-17446.660010999996</v>
      </c>
      <c r="AY187" s="125">
        <f>AI187*Valores!$C$77</f>
        <v>-1938.5177789999996</v>
      </c>
      <c r="AZ187" s="125">
        <f t="shared" si="24"/>
        <v>577784.9781199999</v>
      </c>
      <c r="BA187" s="125">
        <f>AI187*Valores!$C$79</f>
        <v>103387.61487999998</v>
      </c>
      <c r="BB187" s="125">
        <f>AI187*Valores!$C$80</f>
        <v>45232.081509999996</v>
      </c>
      <c r="BC187" s="125">
        <f>AI187*Valores!$C$81</f>
        <v>6461.725929999999</v>
      </c>
      <c r="BD187" s="125">
        <f>AI187*Valores!$C$83</f>
        <v>22616.040754999998</v>
      </c>
      <c r="BE187" s="125">
        <f>AI187*Valores!$C$85</f>
        <v>34893.32002199999</v>
      </c>
      <c r="BF187" s="125">
        <f>AI187*Valores!$C$84</f>
        <v>3877.035557999999</v>
      </c>
      <c r="BG187" s="126"/>
      <c r="BH187" s="126">
        <v>30</v>
      </c>
      <c r="BI187" s="123" t="s">
        <v>8</v>
      </c>
    </row>
    <row r="188" spans="1:61" s="110" customFormat="1" ht="11.25" customHeight="1">
      <c r="A188" s="123" t="s">
        <v>459</v>
      </c>
      <c r="B188" s="123">
        <v>1</v>
      </c>
      <c r="C188" s="126">
        <v>181</v>
      </c>
      <c r="D188" s="124" t="s">
        <v>460</v>
      </c>
      <c r="E188" s="192">
        <v>1278</v>
      </c>
      <c r="F188" s="125">
        <f>ROUND(E188*Valores!$C$2,2)</f>
        <v>105792.84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99336</v>
      </c>
      <c r="M188" s="125">
        <f>ROUND(IF($H$2=0,IF(AND(A188&lt;&gt;"13-930",A188&lt;&gt;"13-940"),(SUM(F188,H188,J188,L188,X188,T188,R188)*Valores!$C$4),0),0),2)</f>
        <v>72184.73</v>
      </c>
      <c r="N188" s="125">
        <f t="shared" si="21"/>
        <v>0</v>
      </c>
      <c r="O188" s="125">
        <f>Valores!$C$16</f>
        <v>71528.26</v>
      </c>
      <c r="P188" s="125">
        <f>Valores!$D$5</f>
        <v>42317.14</v>
      </c>
      <c r="Q188" s="125">
        <f>Valores!$C$22</f>
        <v>37751.3</v>
      </c>
      <c r="R188" s="125">
        <f>IF($F$4="NO",Valores!$C$48,Valores!$C$48/2)</f>
        <v>44235.76</v>
      </c>
      <c r="S188" s="125">
        <f>Valores!$C$19</f>
        <v>39374.32</v>
      </c>
      <c r="T188" s="125">
        <f t="shared" si="28"/>
        <v>39374.32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Valores!$C$98</f>
        <v>115888.34</v>
      </c>
      <c r="AA188" s="125">
        <f>Valores!$C$25</f>
        <v>1730.69</v>
      </c>
      <c r="AB188" s="214">
        <v>0</v>
      </c>
      <c r="AC188" s="125">
        <f t="shared" si="22"/>
        <v>0</v>
      </c>
      <c r="AD188" s="125">
        <f>Valores!$C$26</f>
        <v>1730.69</v>
      </c>
      <c r="AE188" s="192">
        <v>0</v>
      </c>
      <c r="AF188" s="125">
        <f>ROUND(AE188*Valores!$C$2,2)</f>
        <v>0</v>
      </c>
      <c r="AG188" s="125">
        <f>ROUND(IF($F$4="NO",Valores!$C$64,Valores!$C$64/2),2)</f>
        <v>19786.28</v>
      </c>
      <c r="AH188" s="125">
        <f>SUM(F188,H188,J188,L188,M188,N188,O188,P188,Q188,R188,T188,U188,V188,X188,Y188,Z188,AA188,AC188,AD188,AF188,AG188)*Valores!$C$104</f>
        <v>65165.635</v>
      </c>
      <c r="AI188" s="125">
        <f t="shared" si="25"/>
        <v>716821.985</v>
      </c>
      <c r="AJ188" s="125">
        <f>Valores!$C$32</f>
        <v>70000</v>
      </c>
      <c r="AK188" s="125">
        <v>0</v>
      </c>
      <c r="AL188" s="125">
        <f>Valores!$C$91</f>
        <v>0</v>
      </c>
      <c r="AM188" s="125">
        <f>Valores!C$39*B188</f>
        <v>0</v>
      </c>
      <c r="AN188" s="125">
        <f>IF($F$3="NO",0,Valores!$C$56)</f>
        <v>0</v>
      </c>
      <c r="AO188" s="125">
        <f t="shared" si="23"/>
        <v>70000</v>
      </c>
      <c r="AP188" s="125">
        <f>AI188*Valores!$C$72</f>
        <v>-78850.41834999999</v>
      </c>
      <c r="AQ188" s="125">
        <f>IF(AI188&lt;Valores!$E$73,-0.02,IF(AI188&lt;Valores!$F$73,-0.03,-0.04))*AI188</f>
        <v>-14336.4397</v>
      </c>
      <c r="AR188" s="125">
        <f>AI188*Valores!$C$75</f>
        <v>-39425.209174999996</v>
      </c>
      <c r="AS188" s="125">
        <f>Valores!$C$102</f>
        <v>-1270.16</v>
      </c>
      <c r="AT188" s="125">
        <f>IF($F$5=0,Valores!$C$103,(Valores!$C$103+$F$5*(Valores!$C$103)))</f>
        <v>-11714</v>
      </c>
      <c r="AU188" s="125">
        <f t="shared" si="26"/>
        <v>641225.757775</v>
      </c>
      <c r="AV188" s="125">
        <f t="shared" si="20"/>
        <v>-78850.41834999999</v>
      </c>
      <c r="AW188" s="125">
        <f t="shared" si="27"/>
        <v>-14336.4397</v>
      </c>
      <c r="AX188" s="125">
        <f>AI188*Valores!$C$76</f>
        <v>-19354.193595</v>
      </c>
      <c r="AY188" s="125">
        <f>AI188*Valores!$C$77</f>
        <v>-2150.465955</v>
      </c>
      <c r="AZ188" s="125">
        <f t="shared" si="24"/>
        <v>672130.4674</v>
      </c>
      <c r="BA188" s="125">
        <f>AI188*Valores!$C$79</f>
        <v>114691.5176</v>
      </c>
      <c r="BB188" s="125">
        <f>AI188*Valores!$C$80</f>
        <v>50177.53895</v>
      </c>
      <c r="BC188" s="125">
        <f>AI188*Valores!$C$81</f>
        <v>7168.21985</v>
      </c>
      <c r="BD188" s="125">
        <f>AI188*Valores!$C$83</f>
        <v>25088.769475</v>
      </c>
      <c r="BE188" s="125">
        <f>AI188*Valores!$C$85</f>
        <v>38708.38719</v>
      </c>
      <c r="BF188" s="125">
        <f>AI188*Valores!$C$84</f>
        <v>4300.93191</v>
      </c>
      <c r="BG188" s="126"/>
      <c r="BH188" s="126">
        <v>36</v>
      </c>
      <c r="BI188" s="123" t="s">
        <v>4</v>
      </c>
    </row>
    <row r="189" spans="1:61" s="110" customFormat="1" ht="11.25" customHeight="1">
      <c r="A189" s="123" t="s">
        <v>461</v>
      </c>
      <c r="B189" s="123">
        <v>1</v>
      </c>
      <c r="C189" s="126">
        <v>182</v>
      </c>
      <c r="D189" s="124" t="s">
        <v>462</v>
      </c>
      <c r="E189" s="192">
        <v>1065</v>
      </c>
      <c r="F189" s="125">
        <f>ROUND(E189*Valores!$C$2,2)</f>
        <v>88160.7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49668</v>
      </c>
      <c r="M189" s="125">
        <f>ROUND(IF($H$2=0,IF(AND(A189&lt;&gt;"13-930",A189&lt;&gt;"13-940"),(SUM(F189,H189,J189,L189,X189,T189,R189)*Valores!$C$4),0),0),2)</f>
        <v>55359.7</v>
      </c>
      <c r="N189" s="125">
        <f t="shared" si="21"/>
        <v>0</v>
      </c>
      <c r="O189" s="125">
        <f>Valores!$C$16</f>
        <v>71528.26</v>
      </c>
      <c r="P189" s="125">
        <f>Valores!$D$5</f>
        <v>42317.14</v>
      </c>
      <c r="Q189" s="125">
        <v>0</v>
      </c>
      <c r="R189" s="125">
        <f>IF($F$4="NO",Valores!$C$48,Valores!$C$48/2)</f>
        <v>44235.76</v>
      </c>
      <c r="S189" s="125">
        <f>Valores!$C$19</f>
        <v>39374.32</v>
      </c>
      <c r="T189" s="125">
        <f t="shared" si="28"/>
        <v>39374.32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Valores!$C$98</f>
        <v>115888.34</v>
      </c>
      <c r="AA189" s="125">
        <f>Valores!$C$25</f>
        <v>1730.69</v>
      </c>
      <c r="AB189" s="214">
        <v>0</v>
      </c>
      <c r="AC189" s="125">
        <f t="shared" si="22"/>
        <v>0</v>
      </c>
      <c r="AD189" s="125">
        <f>Valores!$C$26</f>
        <v>1730.69</v>
      </c>
      <c r="AE189" s="192">
        <v>0</v>
      </c>
      <c r="AF189" s="125">
        <f>ROUND(AE189*Valores!$C$2,2)</f>
        <v>0</v>
      </c>
      <c r="AG189" s="125">
        <f>ROUND(IF($F$4="NO",Valores!$C$64,Valores!$C$64/2),2)</f>
        <v>19786.28</v>
      </c>
      <c r="AH189" s="125">
        <f>SUM(F189,H189,J189,L189,M189,N189,O189,P189,Q189,R189,T189,U189,V189,X189,Y189,Z189,AA189,AC189,AD189,AF189,AG189)*Valores!$C$104</f>
        <v>52977.98800000001</v>
      </c>
      <c r="AI189" s="125">
        <f t="shared" si="25"/>
        <v>582757.8680000001</v>
      </c>
      <c r="AJ189" s="125">
        <f>Valores!$C$32</f>
        <v>70000</v>
      </c>
      <c r="AK189" s="125">
        <v>0</v>
      </c>
      <c r="AL189" s="125">
        <f>Valores!$C$91</f>
        <v>0</v>
      </c>
      <c r="AM189" s="125">
        <f>Valores!C$39*B189</f>
        <v>0</v>
      </c>
      <c r="AN189" s="125">
        <f>IF($F$3="NO",0,Valores!$C$56)</f>
        <v>0</v>
      </c>
      <c r="AO189" s="125">
        <f t="shared" si="23"/>
        <v>70000</v>
      </c>
      <c r="AP189" s="125">
        <f>AI189*Valores!$C$72</f>
        <v>-64103.365480000015</v>
      </c>
      <c r="AQ189" s="125">
        <f>IF(AI189&lt;Valores!$E$73,-0.02,IF(AI189&lt;Valores!$F$73,-0.03,-0.04))*AI189</f>
        <v>-11655.157360000003</v>
      </c>
      <c r="AR189" s="125">
        <f>AI189*Valores!$C$75</f>
        <v>-32051.682740000007</v>
      </c>
      <c r="AS189" s="125">
        <f>Valores!$C$102</f>
        <v>-1270.16</v>
      </c>
      <c r="AT189" s="125">
        <f>IF($F$5=0,Valores!$C$103,(Valores!$C$103+$F$5*(Valores!$C$103)))</f>
        <v>-11714</v>
      </c>
      <c r="AU189" s="125">
        <f t="shared" si="26"/>
        <v>531963.5024200001</v>
      </c>
      <c r="AV189" s="125">
        <f t="shared" si="20"/>
        <v>-64103.365480000015</v>
      </c>
      <c r="AW189" s="125">
        <f t="shared" si="27"/>
        <v>-11655.157360000003</v>
      </c>
      <c r="AX189" s="125">
        <f>AI189*Valores!$C$76</f>
        <v>-15734.462436000003</v>
      </c>
      <c r="AY189" s="125">
        <f>AI189*Valores!$C$77</f>
        <v>-1748.2736040000004</v>
      </c>
      <c r="AZ189" s="125">
        <f t="shared" si="24"/>
        <v>559516.6091200002</v>
      </c>
      <c r="BA189" s="125">
        <f>AI189*Valores!$C$79</f>
        <v>93241.25888000002</v>
      </c>
      <c r="BB189" s="125">
        <f>AI189*Valores!$C$80</f>
        <v>40793.05076000001</v>
      </c>
      <c r="BC189" s="125">
        <f>AI189*Valores!$C$81</f>
        <v>5827.578680000001</v>
      </c>
      <c r="BD189" s="125">
        <f>AI189*Valores!$C$83</f>
        <v>20396.525380000006</v>
      </c>
      <c r="BE189" s="125">
        <f>AI189*Valores!$C$85</f>
        <v>31468.924872000007</v>
      </c>
      <c r="BF189" s="125">
        <f>AI189*Valores!$C$84</f>
        <v>3496.547208000001</v>
      </c>
      <c r="BG189" s="126"/>
      <c r="BH189" s="126"/>
      <c r="BI189" s="123" t="s">
        <v>4</v>
      </c>
    </row>
    <row r="190" spans="1:61" s="110" customFormat="1" ht="12" customHeight="1">
      <c r="A190" s="123" t="s">
        <v>463</v>
      </c>
      <c r="B190" s="123">
        <v>1</v>
      </c>
      <c r="C190" s="126">
        <v>183</v>
      </c>
      <c r="D190" s="124" t="s">
        <v>464</v>
      </c>
      <c r="E190" s="192">
        <v>971</v>
      </c>
      <c r="F190" s="125">
        <f>ROUND(E190*Valores!$C$2,2)</f>
        <v>80379.38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54634.8</v>
      </c>
      <c r="M190" s="125">
        <f>ROUND(IF($H$2=0,IF(AND(A190&lt;&gt;"13-930",A190&lt;&gt;"13-940"),(SUM(F190,H190,J190,L190,X190,T190,R190)*Valores!$C$4),0),0),2)</f>
        <v>50946</v>
      </c>
      <c r="N190" s="125">
        <f t="shared" si="21"/>
        <v>0</v>
      </c>
      <c r="O190" s="125">
        <f>Valores!$C$16</f>
        <v>71528.26</v>
      </c>
      <c r="P190" s="125">
        <f>Valores!$D$5</f>
        <v>42317.14</v>
      </c>
      <c r="Q190" s="125">
        <f>Valores!$C$23</f>
        <v>35136.41</v>
      </c>
      <c r="R190" s="125">
        <f>IF($F$4="NO",Valores!$C$45,Valores!$C$45/2)</f>
        <v>29395.49</v>
      </c>
      <c r="S190" s="125">
        <f>Valores!$C$19</f>
        <v>39374.32</v>
      </c>
      <c r="T190" s="125">
        <f t="shared" si="28"/>
        <v>39374.32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Valores!$C$96</f>
        <v>57944.18</v>
      </c>
      <c r="AA190" s="125">
        <f>Valores!$C$25</f>
        <v>1730.69</v>
      </c>
      <c r="AB190" s="214">
        <v>0</v>
      </c>
      <c r="AC190" s="125">
        <f t="shared" si="22"/>
        <v>0</v>
      </c>
      <c r="AD190" s="125">
        <f>Valores!$C$26</f>
        <v>1730.69</v>
      </c>
      <c r="AE190" s="192">
        <v>0</v>
      </c>
      <c r="AF190" s="125">
        <f>ROUND(AE190*Valores!$C$2,2)</f>
        <v>0</v>
      </c>
      <c r="AG190" s="125">
        <f>ROUND(IF($F$4="NO",Valores!$C$64,Valores!$C$64/2),2)</f>
        <v>19786.28</v>
      </c>
      <c r="AH190" s="125">
        <f>SUM(F190,H190,J190,L190,M190,N190,O190,P190,Q190,R190,T190,U190,V190,X190,Y190,Z190,AA190,AC190,AD190,AF190,AG190)*Valores!$C$104</f>
        <v>48490.364</v>
      </c>
      <c r="AI190" s="125">
        <f t="shared" si="25"/>
        <v>533394.004</v>
      </c>
      <c r="AJ190" s="125">
        <f>Valores!$C$31</f>
        <v>35000</v>
      </c>
      <c r="AK190" s="125">
        <v>0</v>
      </c>
      <c r="AL190" s="125">
        <f>Valores!$C$89</f>
        <v>0</v>
      </c>
      <c r="AM190" s="125">
        <f>Valores!C$39*B190</f>
        <v>0</v>
      </c>
      <c r="AN190" s="125">
        <v>0</v>
      </c>
      <c r="AO190" s="125">
        <f t="shared" si="23"/>
        <v>35000</v>
      </c>
      <c r="AP190" s="125">
        <f>AI190*Valores!$C$72</f>
        <v>-58673.34043999999</v>
      </c>
      <c r="AQ190" s="125">
        <f>IF(AI190&lt;Valores!$E$73,-0.02,IF(AI190&lt;Valores!$F$73,-0.03,-0.04))*AI190</f>
        <v>-10667.880079999999</v>
      </c>
      <c r="AR190" s="125">
        <f>AI190*Valores!$C$75</f>
        <v>-29336.670219999996</v>
      </c>
      <c r="AS190" s="125">
        <f>Valores!$C$102</f>
        <v>-1270.16</v>
      </c>
      <c r="AT190" s="125">
        <f>IF($F$5=0,Valores!$C$103,(Valores!$C$103+$F$5*(Valores!$C$103)))</f>
        <v>-11714</v>
      </c>
      <c r="AU190" s="125">
        <f t="shared" si="26"/>
        <v>456731.95326</v>
      </c>
      <c r="AV190" s="125">
        <f t="shared" si="20"/>
        <v>-58673.34043999999</v>
      </c>
      <c r="AW190" s="125">
        <f t="shared" si="27"/>
        <v>-10667.880079999999</v>
      </c>
      <c r="AX190" s="125">
        <f>AI190*Valores!$C$76</f>
        <v>-14401.638108</v>
      </c>
      <c r="AY190" s="125">
        <f>AI190*Valores!$C$77</f>
        <v>-1600.182012</v>
      </c>
      <c r="AZ190" s="125">
        <f t="shared" si="24"/>
        <v>483050.96335999994</v>
      </c>
      <c r="BA190" s="125">
        <f>AI190*Valores!$C$79</f>
        <v>85343.04063999999</v>
      </c>
      <c r="BB190" s="125">
        <f>AI190*Valores!$C$80</f>
        <v>37337.58028</v>
      </c>
      <c r="BC190" s="125">
        <f>AI190*Valores!$C$81</f>
        <v>5333.9400399999995</v>
      </c>
      <c r="BD190" s="125">
        <f>AI190*Valores!$C$83</f>
        <v>18668.79014</v>
      </c>
      <c r="BE190" s="125">
        <f>AI190*Valores!$C$85</f>
        <v>28803.276216</v>
      </c>
      <c r="BF190" s="125">
        <f>AI190*Valores!$C$84</f>
        <v>3200.364024</v>
      </c>
      <c r="BG190" s="126"/>
      <c r="BH190" s="126">
        <v>18</v>
      </c>
      <c r="BI190" s="123" t="s">
        <v>4</v>
      </c>
    </row>
    <row r="191" spans="1:61" s="110" customFormat="1" ht="11.25" customHeight="1">
      <c r="A191" s="123" t="s">
        <v>465</v>
      </c>
      <c r="B191" s="123">
        <v>1</v>
      </c>
      <c r="C191" s="126">
        <v>184</v>
      </c>
      <c r="D191" s="124" t="str">
        <f aca="true" t="shared" si="29" ref="D191:D226">CONCATENATE("Hora Cátedra Enseñanza Superior ",B191," hs")</f>
        <v>Hora Cátedra Enseñanza Superior 1 hs</v>
      </c>
      <c r="E191" s="192">
        <f aca="true" t="shared" si="30" ref="E191:E226">99*B191</f>
        <v>99</v>
      </c>
      <c r="F191" s="125">
        <f>ROUND(E191*Valores!$C$2,2)</f>
        <v>8195.22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2639.19</v>
      </c>
      <c r="N191" s="125">
        <f t="shared" si="21"/>
        <v>0</v>
      </c>
      <c r="O191" s="125">
        <f>Valores!$C$7*B191</f>
        <v>2807.15</v>
      </c>
      <c r="P191" s="125">
        <f>ROUND(IF(B191&lt;15,(Valores!$E$5*B191),Valores!$D$5),2)</f>
        <v>2821.14</v>
      </c>
      <c r="Q191" s="125">
        <v>0</v>
      </c>
      <c r="R191" s="125">
        <f>IF($F$4="NO",IF(Valores!$C$50*B191&gt;Valores!$F$47,Valores!$F$47,Valores!$C$50*B191),IF(Valores!$C$50*B191&gt;Valores!$F$47,Valores!$F$47,Valores!$C$50*B191)/2)</f>
        <v>1478.65</v>
      </c>
      <c r="S191" s="125">
        <f>Valores!$C$18*B191</f>
        <v>882.88</v>
      </c>
      <c r="T191" s="125">
        <f t="shared" si="28"/>
        <v>882.88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IF(Valores!$C$99*B191&gt;Valores!$C$98,Valores!$C$98,Valores!$C$99*B191)</f>
        <v>2695.27</v>
      </c>
      <c r="AA191" s="125">
        <f>IF((Valores!$C$28)*B191&gt;Valores!$F$28,Valores!$F$28,(Valores!$C$28)*B191)</f>
        <v>69.36</v>
      </c>
      <c r="AB191" s="214">
        <v>0</v>
      </c>
      <c r="AC191" s="125">
        <f t="shared" si="22"/>
        <v>0</v>
      </c>
      <c r="AD191" s="125">
        <f>IF(Valores!$C$29*B191&gt;Valores!$F$29,Valores!$F$29,Valores!$C$29*B191)</f>
        <v>57.76</v>
      </c>
      <c r="AE191" s="192">
        <v>0</v>
      </c>
      <c r="AF191" s="125">
        <f>ROUND(AE191*Valores!$C$2,2)</f>
        <v>0</v>
      </c>
      <c r="AG191" s="125">
        <f>IF($F$4="NO",IF(Valores!$D$64*'Escala Docente'!B191&gt;Valores!$F$64,Valores!$F$64,Valores!$D$64*'Escala Docente'!B191),IF(Valores!$D$64*'Escala Docente'!B191&gt;Valores!$F$64,Valores!$F$64,Valores!$D$64*'Escala Docente'!B191)/2)</f>
        <v>1319.08</v>
      </c>
      <c r="AH191" s="125">
        <f>SUM(F191,H191,J191,L191,M191,N191,O191,P191,Q191,R191,T191,U191,V191,X191,Y191,Z191,AA191,AC191,AD191,AF191,AG191)*Valores!$C$104</f>
        <v>2296.5700000000006</v>
      </c>
      <c r="AI191" s="125">
        <f t="shared" si="25"/>
        <v>25262.270000000004</v>
      </c>
      <c r="AJ191" s="125">
        <f>IF(Valores!$C$33*B191&gt;Valores!$F$33,Valores!$F$33,Valores!$C$33*B191)</f>
        <v>2333.33333333333</v>
      </c>
      <c r="AK191" s="125">
        <v>0</v>
      </c>
      <c r="AL191" s="125">
        <f>IF(Valores!$C$92*B191&gt;Valores!$C$91,Valores!$C$91,Valores!$C$92*B191)</f>
        <v>0</v>
      </c>
      <c r="AM191" s="125">
        <f>IF(Valores!C$40*B191&gt;Valores!F$39,Valores!F$39,Valores!C$40*B191)</f>
        <v>0</v>
      </c>
      <c r="AN191" s="125">
        <f>IF($F$3="NO",0,IF(Valores!$C$62*B191&gt;Valores!$F$62,Valores!$F$62,Valores!$C$62*B191))</f>
        <v>0</v>
      </c>
      <c r="AO191" s="125">
        <f t="shared" si="23"/>
        <v>2333.33333333333</v>
      </c>
      <c r="AP191" s="125">
        <f>AI191*Valores!$C$72</f>
        <v>-2778.8497000000007</v>
      </c>
      <c r="AQ191" s="125">
        <f>IF(AI191&lt;Valores!$E$73,-0.02,IF(AI191&lt;Valores!$F$73,-0.03,-0.04))*AI191</f>
        <v>-505.2454000000001</v>
      </c>
      <c r="AR191" s="125">
        <f>AI191*Valores!$C$75</f>
        <v>-1389.4248500000003</v>
      </c>
      <c r="AS191" s="125">
        <f>Valores!$C$102</f>
        <v>-1270.16</v>
      </c>
      <c r="AT191" s="125">
        <f>IF($F$5=0,Valores!$C$103,(Valores!$C$103+$F$5*(Valores!$C$103)))</f>
        <v>-11714</v>
      </c>
      <c r="AU191" s="125">
        <f t="shared" si="26"/>
        <v>9937.923383333333</v>
      </c>
      <c r="AV191" s="125">
        <f t="shared" si="20"/>
        <v>-2778.8497000000007</v>
      </c>
      <c r="AW191" s="125">
        <f t="shared" si="27"/>
        <v>-505.2454000000001</v>
      </c>
      <c r="AX191" s="125">
        <f>AI191*Valores!$C$76</f>
        <v>-682.0812900000001</v>
      </c>
      <c r="AY191" s="125">
        <f>AI191*Valores!$C$77</f>
        <v>-75.78681000000002</v>
      </c>
      <c r="AZ191" s="125">
        <f t="shared" si="24"/>
        <v>23553.64013333333</v>
      </c>
      <c r="BA191" s="125">
        <f>AI191*Valores!$C$79</f>
        <v>4041.9632000000006</v>
      </c>
      <c r="BB191" s="125">
        <f>AI191*Valores!$C$80</f>
        <v>1768.3589000000004</v>
      </c>
      <c r="BC191" s="125">
        <f>AI191*Valores!$C$81</f>
        <v>252.62270000000004</v>
      </c>
      <c r="BD191" s="125">
        <f>AI191*Valores!$C$83</f>
        <v>884.1794500000002</v>
      </c>
      <c r="BE191" s="125">
        <f>AI191*Valores!$C$85</f>
        <v>1364.1625800000002</v>
      </c>
      <c r="BF191" s="125">
        <f>AI191*Valores!$C$84</f>
        <v>151.57362000000003</v>
      </c>
      <c r="BG191" s="126"/>
      <c r="BH191" s="126">
        <f aca="true" t="shared" si="31" ref="BH191:BH222">1*B191</f>
        <v>1</v>
      </c>
      <c r="BI191" s="123" t="s">
        <v>4</v>
      </c>
    </row>
    <row r="192" spans="1:61" s="110" customFormat="1" ht="11.25" customHeight="1">
      <c r="A192" s="123" t="s">
        <v>465</v>
      </c>
      <c r="B192" s="123">
        <v>2</v>
      </c>
      <c r="C192" s="126">
        <v>185</v>
      </c>
      <c r="D192" s="124" t="str">
        <f t="shared" si="29"/>
        <v>Hora Cátedra Enseñanza Superior 2 hs</v>
      </c>
      <c r="E192" s="192">
        <f t="shared" si="30"/>
        <v>198</v>
      </c>
      <c r="F192" s="125">
        <f>ROUND(E192*Valores!$C$2,2)</f>
        <v>16390.44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5278.38</v>
      </c>
      <c r="N192" s="125">
        <f t="shared" si="21"/>
        <v>0</v>
      </c>
      <c r="O192" s="125">
        <f>Valores!$C$7*B192</f>
        <v>5614.3</v>
      </c>
      <c r="P192" s="125">
        <f>ROUND(IF(B192&lt;15,(Valores!$E$5*B192),Valores!$D$5),2)</f>
        <v>5642.28</v>
      </c>
      <c r="Q192" s="125">
        <v>0</v>
      </c>
      <c r="R192" s="125">
        <f>IF($F$4="NO",IF(Valores!$C$50*B192&gt;Valores!$F$47,Valores!$F$47,Valores!$C$50*B192),IF(Valores!$C$50*B192&gt;Valores!$F$47,Valores!$F$47,Valores!$C$50*B192)/2)</f>
        <v>2957.3</v>
      </c>
      <c r="S192" s="125">
        <f>Valores!$C$18*B192</f>
        <v>1765.76</v>
      </c>
      <c r="T192" s="125">
        <f t="shared" si="28"/>
        <v>1765.76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IF(Valores!$C$99*B192&gt;Valores!$C$98,Valores!$C$98,Valores!$C$99*B192)</f>
        <v>5390.54</v>
      </c>
      <c r="AA192" s="125">
        <f>IF((Valores!$C$28)*B192&gt;Valores!$F$28,Valores!$F$28,(Valores!$C$28)*B192)</f>
        <v>138.72</v>
      </c>
      <c r="AB192" s="214">
        <v>0</v>
      </c>
      <c r="AC192" s="125">
        <f t="shared" si="22"/>
        <v>0</v>
      </c>
      <c r="AD192" s="125">
        <f>IF(Valores!$C$29*B192&gt;Valores!$F$29,Valores!$F$29,Valores!$C$29*B192)</f>
        <v>115.52</v>
      </c>
      <c r="AE192" s="192">
        <v>0</v>
      </c>
      <c r="AF192" s="125">
        <f>ROUND(AE192*Valores!$C$2,2)</f>
        <v>0</v>
      </c>
      <c r="AG192" s="125">
        <f>IF($F$4="NO",IF(Valores!$D$64*'Escala Docente'!B192&gt;Valores!$F$64,Valores!$F$64,Valores!$D$64*'Escala Docente'!B192),IF(Valores!$D$64*'Escala Docente'!B192&gt;Valores!$F$64,Valores!$F$64,Valores!$D$64*'Escala Docente'!B192)/2)</f>
        <v>2638.16</v>
      </c>
      <c r="AH192" s="125">
        <f>SUM(F192,H192,J192,L192,M192,N192,O192,P192,Q192,R192,T192,U192,V192,X192,Y192,Z192,AA192,AC192,AD192,AF192,AG192)*Valores!$C$104</f>
        <v>4593.140000000001</v>
      </c>
      <c r="AI192" s="125">
        <f t="shared" si="25"/>
        <v>50524.54000000001</v>
      </c>
      <c r="AJ192" s="125">
        <f>IF(Valores!$C$33*B192&gt;Valores!$F$33,Valores!$F$33,Valores!$C$33*B192)</f>
        <v>4666.66666666666</v>
      </c>
      <c r="AK192" s="125">
        <v>0</v>
      </c>
      <c r="AL192" s="125">
        <f>IF(Valores!$C$92*B192&gt;Valores!$C$91,Valores!$C$91,Valores!$C$92*B192)</f>
        <v>0</v>
      </c>
      <c r="AM192" s="125">
        <f>IF(Valores!C$40*B192&gt;Valores!F$39,Valores!F$39,Valores!C$40*B192)</f>
        <v>0</v>
      </c>
      <c r="AN192" s="125">
        <f>IF($F$3="NO",0,IF(Valores!$C$62*B192&gt;Valores!$F$62,Valores!$F$62,Valores!$C$62*B192))</f>
        <v>0</v>
      </c>
      <c r="AO192" s="125">
        <f t="shared" si="23"/>
        <v>4666.66666666666</v>
      </c>
      <c r="AP192" s="125">
        <f>AI192*Valores!$C$72</f>
        <v>-5557.699400000001</v>
      </c>
      <c r="AQ192" s="125">
        <f>IF(AI192&lt;Valores!$E$73,-0.02,IF(AI192&lt;Valores!$F$73,-0.03,-0.04))*AI192</f>
        <v>-1010.4908000000001</v>
      </c>
      <c r="AR192" s="125">
        <f>AI192*Valores!$C$75</f>
        <v>-2778.8497000000007</v>
      </c>
      <c r="AS192" s="125">
        <f>Valores!$C$102</f>
        <v>-1270.16</v>
      </c>
      <c r="AT192" s="125">
        <f>IF($F$5=0,Valores!$C$103,(Valores!$C$103+$F$5*(Valores!$C$103)))</f>
        <v>-11714</v>
      </c>
      <c r="AU192" s="125">
        <f t="shared" si="26"/>
        <v>32860.006766666665</v>
      </c>
      <c r="AV192" s="125">
        <f t="shared" si="20"/>
        <v>-5557.699400000001</v>
      </c>
      <c r="AW192" s="125">
        <f t="shared" si="27"/>
        <v>-1010.4908000000001</v>
      </c>
      <c r="AX192" s="125">
        <f>AI192*Valores!$C$76</f>
        <v>-1364.1625800000002</v>
      </c>
      <c r="AY192" s="125">
        <f>AI192*Valores!$C$77</f>
        <v>-151.57362000000003</v>
      </c>
      <c r="AZ192" s="125">
        <f t="shared" si="24"/>
        <v>47107.28026666666</v>
      </c>
      <c r="BA192" s="125">
        <f>AI192*Valores!$C$79</f>
        <v>8083.926400000001</v>
      </c>
      <c r="BB192" s="125">
        <f>AI192*Valores!$C$80</f>
        <v>3536.717800000001</v>
      </c>
      <c r="BC192" s="125">
        <f>AI192*Valores!$C$81</f>
        <v>505.2454000000001</v>
      </c>
      <c r="BD192" s="125">
        <f>AI192*Valores!$C$83</f>
        <v>1768.3589000000004</v>
      </c>
      <c r="BE192" s="125">
        <f>AI192*Valores!$C$85</f>
        <v>2728.3251600000003</v>
      </c>
      <c r="BF192" s="125">
        <f>AI192*Valores!$C$84</f>
        <v>303.14724000000007</v>
      </c>
      <c r="BG192" s="126"/>
      <c r="BH192" s="126">
        <f t="shared" si="31"/>
        <v>2</v>
      </c>
      <c r="BI192" s="123" t="s">
        <v>4</v>
      </c>
    </row>
    <row r="193" spans="1:61" s="110" customFormat="1" ht="11.25" customHeight="1">
      <c r="A193" s="123" t="s">
        <v>465</v>
      </c>
      <c r="B193" s="123">
        <v>3</v>
      </c>
      <c r="C193" s="126">
        <v>186</v>
      </c>
      <c r="D193" s="124" t="str">
        <f t="shared" si="29"/>
        <v>Hora Cátedra Enseñanza Superior 3 hs</v>
      </c>
      <c r="E193" s="192">
        <f t="shared" si="30"/>
        <v>297</v>
      </c>
      <c r="F193" s="125">
        <f>ROUND(E193*Valores!$C$2,2)</f>
        <v>24585.66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7917.56</v>
      </c>
      <c r="N193" s="125">
        <f t="shared" si="21"/>
        <v>0</v>
      </c>
      <c r="O193" s="125">
        <f>Valores!$C$7*B193</f>
        <v>8421.45</v>
      </c>
      <c r="P193" s="125">
        <f>ROUND(IF(B193&lt;15,(Valores!$E$5*B193),Valores!$D$5),2)</f>
        <v>8463.42</v>
      </c>
      <c r="Q193" s="125">
        <v>0</v>
      </c>
      <c r="R193" s="125">
        <f>IF($F$4="NO",IF(Valores!$C$50*B193&gt;Valores!$F$47,Valores!$F$47,Valores!$C$50*B193),IF(Valores!$C$50*B193&gt;Valores!$F$47,Valores!$F$47,Valores!$C$50*B193)/2)</f>
        <v>4435.950000000001</v>
      </c>
      <c r="S193" s="125">
        <f>Valores!$C$18*B193</f>
        <v>2648.64</v>
      </c>
      <c r="T193" s="125">
        <f t="shared" si="28"/>
        <v>2648.64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IF(Valores!$C$99*B193&gt;Valores!$C$98,Valores!$C$98,Valores!$C$99*B193)</f>
        <v>8085.8099999999995</v>
      </c>
      <c r="AA193" s="125">
        <f>IF((Valores!$C$28)*B193&gt;Valores!$F$28,Valores!$F$28,(Valores!$C$28)*B193)</f>
        <v>208.07999999999998</v>
      </c>
      <c r="AB193" s="214">
        <v>0</v>
      </c>
      <c r="AC193" s="125">
        <f t="shared" si="22"/>
        <v>0</v>
      </c>
      <c r="AD193" s="125">
        <f>IF(Valores!$C$29*B193&gt;Valores!$F$29,Valores!$F$29,Valores!$C$29*B193)</f>
        <v>173.28</v>
      </c>
      <c r="AE193" s="192">
        <v>0</v>
      </c>
      <c r="AF193" s="125">
        <f>ROUND(AE193*Valores!$C$2,2)</f>
        <v>0</v>
      </c>
      <c r="AG193" s="125">
        <f>IF($F$4="NO",IF(Valores!$D$64*'Escala Docente'!B193&gt;Valores!$F$64,Valores!$F$64,Valores!$D$64*'Escala Docente'!B193),IF(Valores!$D$64*'Escala Docente'!B193&gt;Valores!$F$64,Valores!$F$64,Valores!$D$64*'Escala Docente'!B193)/2)+0.01</f>
        <v>3957.25</v>
      </c>
      <c r="AH193" s="125">
        <f>SUM(F193,H193,J193,L193,M193,N193,O193,P193,Q193,R193,T193,U193,V193,X193,Y193,Z193,AA193,AC193,AD193,AF193,AG193)*Valores!$C$104</f>
        <v>6889.709999999999</v>
      </c>
      <c r="AI193" s="125">
        <f t="shared" si="25"/>
        <v>75786.81</v>
      </c>
      <c r="AJ193" s="125">
        <f>IF(Valores!$C$33*B193&gt;Valores!$F$33,Valores!$F$33,Valores!$C$33*B193)</f>
        <v>6999.999999999989</v>
      </c>
      <c r="AK193" s="125">
        <v>0</v>
      </c>
      <c r="AL193" s="125">
        <f>IF(Valores!$C$92*B193&gt;Valores!$C$91,Valores!$C$91,Valores!$C$92*B193)</f>
        <v>0</v>
      </c>
      <c r="AM193" s="125">
        <f>IF(Valores!C$40*B193&gt;Valores!F$39,Valores!F$39,Valores!C$40*B193)</f>
        <v>0</v>
      </c>
      <c r="AN193" s="125">
        <f>IF($F$3="NO",0,IF(Valores!$C$62*B193&gt;Valores!$F$62,Valores!$F$62,Valores!$C$62*B193))</f>
        <v>0</v>
      </c>
      <c r="AO193" s="125">
        <f t="shared" si="23"/>
        <v>6999.999999999989</v>
      </c>
      <c r="AP193" s="125">
        <f>AI193*Valores!$C$72</f>
        <v>-8336.5491</v>
      </c>
      <c r="AQ193" s="125">
        <f>IF(AI193&lt;Valores!$E$73,-0.02,IF(AI193&lt;Valores!$F$73,-0.03,-0.04))*AI193</f>
        <v>-1515.7362</v>
      </c>
      <c r="AR193" s="125">
        <f>AI193*Valores!$C$75</f>
        <v>-4168.27455</v>
      </c>
      <c r="AS193" s="125">
        <f>Valores!$C$102</f>
        <v>-1270.16</v>
      </c>
      <c r="AT193" s="125">
        <f>IF($F$5=0,Valores!$C$103,(Valores!$C$103+$F$5*(Valores!$C$103)))</f>
        <v>-11714</v>
      </c>
      <c r="AU193" s="125">
        <f t="shared" si="26"/>
        <v>55782.09014999999</v>
      </c>
      <c r="AV193" s="125">
        <f t="shared" si="20"/>
        <v>-8336.5491</v>
      </c>
      <c r="AW193" s="125">
        <f t="shared" si="27"/>
        <v>-1515.7362</v>
      </c>
      <c r="AX193" s="125">
        <f>AI193*Valores!$C$76</f>
        <v>-2046.24387</v>
      </c>
      <c r="AY193" s="125">
        <f>AI193*Valores!$C$77</f>
        <v>-227.36043</v>
      </c>
      <c r="AZ193" s="125">
        <f t="shared" si="24"/>
        <v>70660.92039999999</v>
      </c>
      <c r="BA193" s="125">
        <f>AI193*Valores!$C$79</f>
        <v>12125.8896</v>
      </c>
      <c r="BB193" s="125">
        <f>AI193*Valores!$C$80</f>
        <v>5305.0767000000005</v>
      </c>
      <c r="BC193" s="125">
        <f>AI193*Valores!$C$81</f>
        <v>757.8681</v>
      </c>
      <c r="BD193" s="125">
        <f>AI193*Valores!$C$83</f>
        <v>2652.5383500000003</v>
      </c>
      <c r="BE193" s="125">
        <f>AI193*Valores!$C$85</f>
        <v>4092.48774</v>
      </c>
      <c r="BF193" s="125">
        <f>AI193*Valores!$C$84</f>
        <v>454.72086</v>
      </c>
      <c r="BG193" s="126"/>
      <c r="BH193" s="126">
        <f t="shared" si="31"/>
        <v>3</v>
      </c>
      <c r="BI193" s="123" t="s">
        <v>4</v>
      </c>
    </row>
    <row r="194" spans="1:61" s="110" customFormat="1" ht="11.25" customHeight="1">
      <c r="A194" s="123" t="s">
        <v>465</v>
      </c>
      <c r="B194" s="123">
        <v>4</v>
      </c>
      <c r="C194" s="126">
        <v>187</v>
      </c>
      <c r="D194" s="124" t="str">
        <f t="shared" si="29"/>
        <v>Hora Cátedra Enseñanza Superior 4 hs</v>
      </c>
      <c r="E194" s="192">
        <f t="shared" si="30"/>
        <v>396</v>
      </c>
      <c r="F194" s="125">
        <f>ROUND(E194*Valores!$C$2,2)</f>
        <v>32780.88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10556.75</v>
      </c>
      <c r="N194" s="125">
        <f t="shared" si="21"/>
        <v>0</v>
      </c>
      <c r="O194" s="125">
        <f>Valores!$C$7*B194</f>
        <v>11228.6</v>
      </c>
      <c r="P194" s="125">
        <f>ROUND(IF(B194&lt;15,(Valores!$E$5*B194),Valores!$D$5),2)</f>
        <v>11284.56</v>
      </c>
      <c r="Q194" s="125">
        <v>0</v>
      </c>
      <c r="R194" s="125">
        <f>IF($F$4="NO",IF(Valores!$C$50*B194&gt;Valores!$F$47,Valores!$F$47,Valores!$C$50*B194),IF(Valores!$C$50*B194&gt;Valores!$F$47,Valores!$F$47,Valores!$C$50*B194)/2)</f>
        <v>5914.6</v>
      </c>
      <c r="S194" s="125">
        <f>Valores!$C$18*B194</f>
        <v>3531.52</v>
      </c>
      <c r="T194" s="125">
        <f t="shared" si="28"/>
        <v>3531.52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IF(Valores!$C$99*B194&gt;Valores!$C$98,Valores!$C$98,Valores!$C$99*B194)</f>
        <v>10781.08</v>
      </c>
      <c r="AA194" s="125">
        <f>IF((Valores!$C$28)*B194&gt;Valores!$F$28,Valores!$F$28,(Valores!$C$28)*B194)</f>
        <v>277.44</v>
      </c>
      <c r="AB194" s="214">
        <v>0</v>
      </c>
      <c r="AC194" s="125">
        <f t="shared" si="22"/>
        <v>0</v>
      </c>
      <c r="AD194" s="125">
        <f>IF(Valores!$C$29*B194&gt;Valores!$F$29,Valores!$F$29,Valores!$C$29*B194)</f>
        <v>231.04</v>
      </c>
      <c r="AE194" s="192">
        <v>0</v>
      </c>
      <c r="AF194" s="125">
        <f>ROUND(AE194*Valores!$C$2,2)</f>
        <v>0</v>
      </c>
      <c r="AG194" s="125">
        <f>IF($F$4="NO",IF(Valores!$D$64*'Escala Docente'!B194&gt;Valores!$F$64,Valores!$F$64,Valores!$D$64*'Escala Docente'!B194),IF(Valores!$D$64*'Escala Docente'!B194&gt;Valores!$F$64,Valores!$F$64,Valores!$D$64*'Escala Docente'!B194)/2)+0.01</f>
        <v>5276.33</v>
      </c>
      <c r="AH194" s="125">
        <f>SUM(F194,H194,J194,L194,M194,N194,O194,P194,Q194,R194,T194,U194,V194,X194,Y194,Z194,AA194,AC194,AD194,AF194,AG194)*Valores!$C$104</f>
        <v>9186.28</v>
      </c>
      <c r="AI194" s="125">
        <f t="shared" si="25"/>
        <v>101049.08</v>
      </c>
      <c r="AJ194" s="125">
        <f>IF(Valores!$C$33*B194&gt;Valores!$F$33,Valores!$F$33,Valores!$C$33*B194)</f>
        <v>9333.33333333332</v>
      </c>
      <c r="AK194" s="125">
        <v>0</v>
      </c>
      <c r="AL194" s="125">
        <f>IF(Valores!$C$92*B194&gt;Valores!$C$91,Valores!$C$91,Valores!$C$92*B194)</f>
        <v>0</v>
      </c>
      <c r="AM194" s="125">
        <f>IF(Valores!C$40*B194&gt;Valores!F$39,Valores!F$39,Valores!C$40*B194)</f>
        <v>0</v>
      </c>
      <c r="AN194" s="125">
        <f>IF($F$3="NO",0,IF(Valores!$C$62*B194&gt;Valores!$F$62,Valores!$F$62,Valores!$C$62*B194))</f>
        <v>0</v>
      </c>
      <c r="AO194" s="125">
        <f t="shared" si="23"/>
        <v>9333.33333333332</v>
      </c>
      <c r="AP194" s="125">
        <f>AI194*Valores!$C$72</f>
        <v>-11115.3988</v>
      </c>
      <c r="AQ194" s="125">
        <f>IF(AI194&lt;Valores!$E$73,-0.02,IF(AI194&lt;Valores!$F$73,-0.03,-0.04))*AI194</f>
        <v>-2020.9816</v>
      </c>
      <c r="AR194" s="125">
        <f>AI194*Valores!$C$75</f>
        <v>-5557.6994</v>
      </c>
      <c r="AS194" s="125">
        <f>Valores!$C$102</f>
        <v>-1270.16</v>
      </c>
      <c r="AT194" s="125">
        <f>IF($F$5=0,Valores!$C$103,(Valores!$C$103+$F$5*(Valores!$C$103)))</f>
        <v>-11714</v>
      </c>
      <c r="AU194" s="125">
        <f t="shared" si="26"/>
        <v>78704.17353333332</v>
      </c>
      <c r="AV194" s="125">
        <f t="shared" si="20"/>
        <v>-11115.3988</v>
      </c>
      <c r="AW194" s="125">
        <f t="shared" si="27"/>
        <v>-2020.9816</v>
      </c>
      <c r="AX194" s="125">
        <f>AI194*Valores!$C$76</f>
        <v>-2728.32516</v>
      </c>
      <c r="AY194" s="125">
        <f>AI194*Valores!$C$77</f>
        <v>-303.14724</v>
      </c>
      <c r="AZ194" s="125">
        <f t="shared" si="24"/>
        <v>94214.56053333331</v>
      </c>
      <c r="BA194" s="125">
        <f>AI194*Valores!$C$79</f>
        <v>16167.8528</v>
      </c>
      <c r="BB194" s="125">
        <f>AI194*Valores!$C$80</f>
        <v>7073.435600000001</v>
      </c>
      <c r="BC194" s="125">
        <f>AI194*Valores!$C$81</f>
        <v>1010.4908</v>
      </c>
      <c r="BD194" s="125">
        <f>AI194*Valores!$C$83</f>
        <v>3536.7178000000004</v>
      </c>
      <c r="BE194" s="125">
        <f>AI194*Valores!$C$85</f>
        <v>5456.65032</v>
      </c>
      <c r="BF194" s="125">
        <f>AI194*Valores!$C$84</f>
        <v>606.29448</v>
      </c>
      <c r="BG194" s="126"/>
      <c r="BH194" s="126">
        <f t="shared" si="31"/>
        <v>4</v>
      </c>
      <c r="BI194" s="123" t="s">
        <v>4</v>
      </c>
    </row>
    <row r="195" spans="1:61" s="110" customFormat="1" ht="11.25" customHeight="1">
      <c r="A195" s="123" t="s">
        <v>465</v>
      </c>
      <c r="B195" s="123">
        <v>5</v>
      </c>
      <c r="C195" s="126">
        <v>188</v>
      </c>
      <c r="D195" s="124" t="str">
        <f t="shared" si="29"/>
        <v>Hora Cátedra Enseñanza Superior 5 hs</v>
      </c>
      <c r="E195" s="192">
        <f t="shared" si="30"/>
        <v>495</v>
      </c>
      <c r="F195" s="125">
        <f>ROUND(E195*Valores!$C$2,2)</f>
        <v>40976.1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13195.94</v>
      </c>
      <c r="N195" s="125">
        <f t="shared" si="21"/>
        <v>0</v>
      </c>
      <c r="O195" s="125">
        <f>Valores!$C$7*B195</f>
        <v>14035.75</v>
      </c>
      <c r="P195" s="125">
        <f>ROUND(IF(B195&lt;15,(Valores!$E$5*B195),Valores!$D$5),2)</f>
        <v>14105.7</v>
      </c>
      <c r="Q195" s="125">
        <v>0</v>
      </c>
      <c r="R195" s="125">
        <f>IF($F$4="NO",IF(Valores!$C$50*B195&gt;Valores!$F$47,Valores!$F$47,Valores!$C$50*B195),IF(Valores!$C$50*B195&gt;Valores!$F$47,Valores!$F$47,Valores!$C$50*B195)/2)</f>
        <v>7393.25</v>
      </c>
      <c r="S195" s="125">
        <f>Valores!$C$18*B195</f>
        <v>4414.4</v>
      </c>
      <c r="T195" s="125">
        <f t="shared" si="28"/>
        <v>4414.4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IF(Valores!$C$99*B195&gt;Valores!$C$98,Valores!$C$98,Valores!$C$99*B195)</f>
        <v>13476.35</v>
      </c>
      <c r="AA195" s="125">
        <f>IF((Valores!$C$28)*B195&gt;Valores!$F$28,Valores!$F$28,(Valores!$C$28)*B195)</f>
        <v>346.8</v>
      </c>
      <c r="AB195" s="214">
        <v>0</v>
      </c>
      <c r="AC195" s="125">
        <f t="shared" si="22"/>
        <v>0</v>
      </c>
      <c r="AD195" s="125">
        <f>IF(Valores!$C$29*B195&gt;Valores!$F$29,Valores!$F$29,Valores!$C$29*B195)</f>
        <v>288.8</v>
      </c>
      <c r="AE195" s="192">
        <v>0</v>
      </c>
      <c r="AF195" s="125">
        <f>ROUND(AE195*Valores!$C$2,2)</f>
        <v>0</v>
      </c>
      <c r="AG195" s="125">
        <f>IF($F$4="NO",IF(Valores!$D$64*'Escala Docente'!B195&gt;Valores!$F$64,Valores!$F$64,Valores!$D$64*'Escala Docente'!B195),IF(Valores!$D$64*'Escala Docente'!B195&gt;Valores!$F$64,Valores!$F$64,Valores!$D$64*'Escala Docente'!B195)/2)+0.01</f>
        <v>6595.41</v>
      </c>
      <c r="AH195" s="125">
        <f>SUM(F195,H195,J195,L195,M195,N195,O195,P195,Q195,R195,T195,U195,V195,X195,Y195,Z195,AA195,AC195,AD195,AF195,AG195)*Valores!$C$104</f>
        <v>11482.850000000002</v>
      </c>
      <c r="AI195" s="125">
        <f t="shared" si="25"/>
        <v>126311.35000000002</v>
      </c>
      <c r="AJ195" s="125">
        <f>IF(Valores!$C$33*B195&gt;Valores!$F$33,Valores!$F$33,Valores!$C$33*B195)</f>
        <v>11666.66666666665</v>
      </c>
      <c r="AK195" s="125">
        <v>0</v>
      </c>
      <c r="AL195" s="125">
        <f>IF(Valores!$C$92*B195&gt;Valores!$C$91,Valores!$C$91,Valores!$C$92*B195)</f>
        <v>0</v>
      </c>
      <c r="AM195" s="125">
        <f>IF(Valores!C$40*B195&gt;Valores!F$39,Valores!F$39,Valores!C$40*B195)</f>
        <v>0</v>
      </c>
      <c r="AN195" s="125">
        <f>IF($F$3="NO",0,IF(Valores!$C$62*B195&gt;Valores!$F$62,Valores!$F$62,Valores!$C$62*B195))</f>
        <v>0</v>
      </c>
      <c r="AO195" s="125">
        <f t="shared" si="23"/>
        <v>11666.66666666665</v>
      </c>
      <c r="AP195" s="125">
        <f>AI195*Valores!$C$72</f>
        <v>-13894.248500000002</v>
      </c>
      <c r="AQ195" s="125">
        <f>IF(AI195&lt;Valores!$E$73,-0.02,IF(AI195&lt;Valores!$F$73,-0.03,-0.04))*AI195</f>
        <v>-2526.2270000000003</v>
      </c>
      <c r="AR195" s="125">
        <f>AI195*Valores!$C$75</f>
        <v>-6947.124250000001</v>
      </c>
      <c r="AS195" s="125">
        <f>Valores!$C$102</f>
        <v>-1270.16</v>
      </c>
      <c r="AT195" s="125">
        <f>IF($F$5=0,Valores!$C$103,(Valores!$C$103+$F$5*(Valores!$C$103)))</f>
        <v>-11714</v>
      </c>
      <c r="AU195" s="125">
        <f t="shared" si="26"/>
        <v>101626.25691666667</v>
      </c>
      <c r="AV195" s="125">
        <f t="shared" si="20"/>
        <v>-13894.248500000002</v>
      </c>
      <c r="AW195" s="125">
        <f t="shared" si="27"/>
        <v>-2526.2270000000003</v>
      </c>
      <c r="AX195" s="125">
        <f>AI195*Valores!$C$76</f>
        <v>-3410.4064500000004</v>
      </c>
      <c r="AY195" s="125">
        <f>AI195*Valores!$C$77</f>
        <v>-378.93405000000007</v>
      </c>
      <c r="AZ195" s="125">
        <f t="shared" si="24"/>
        <v>117768.20066666666</v>
      </c>
      <c r="BA195" s="125">
        <f>AI195*Valores!$C$79</f>
        <v>20209.816000000003</v>
      </c>
      <c r="BB195" s="125">
        <f>AI195*Valores!$C$80</f>
        <v>8841.794500000002</v>
      </c>
      <c r="BC195" s="125">
        <f>AI195*Valores!$C$81</f>
        <v>1263.1135000000002</v>
      </c>
      <c r="BD195" s="125">
        <f>AI195*Valores!$C$83</f>
        <v>4420.897250000001</v>
      </c>
      <c r="BE195" s="125">
        <f>AI195*Valores!$C$85</f>
        <v>6820.812900000001</v>
      </c>
      <c r="BF195" s="125">
        <f>AI195*Valores!$C$84</f>
        <v>757.8681000000001</v>
      </c>
      <c r="BG195" s="126"/>
      <c r="BH195" s="126">
        <f t="shared" si="31"/>
        <v>5</v>
      </c>
      <c r="BI195" s="123" t="s">
        <v>4</v>
      </c>
    </row>
    <row r="196" spans="1:61" s="110" customFormat="1" ht="11.25" customHeight="1">
      <c r="A196" s="123" t="s">
        <v>465</v>
      </c>
      <c r="B196" s="123">
        <v>6</v>
      </c>
      <c r="C196" s="126">
        <v>189</v>
      </c>
      <c r="D196" s="124" t="str">
        <f t="shared" si="29"/>
        <v>Hora Cátedra Enseñanza Superior 6 hs</v>
      </c>
      <c r="E196" s="192">
        <f t="shared" si="30"/>
        <v>594</v>
      </c>
      <c r="F196" s="125">
        <f>ROUND(E196*Valores!$C$2,2)</f>
        <v>49171.32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15835.13</v>
      </c>
      <c r="N196" s="125">
        <f t="shared" si="21"/>
        <v>0</v>
      </c>
      <c r="O196" s="125">
        <f>Valores!$C$7*B196</f>
        <v>16842.9</v>
      </c>
      <c r="P196" s="125">
        <f>ROUND(IF(B196&lt;15,(Valores!$E$5*B196),Valores!$D$5),2)</f>
        <v>16926.84</v>
      </c>
      <c r="Q196" s="125">
        <v>0</v>
      </c>
      <c r="R196" s="125">
        <f>IF($F$4="NO",IF(Valores!$C$50*B196&gt;Valores!$F$47,Valores!$F$47,Valores!$C$50*B196),IF(Valores!$C$50*B196&gt;Valores!$F$47,Valores!$F$47,Valores!$C$50*B196)/2)</f>
        <v>8871.900000000001</v>
      </c>
      <c r="S196" s="125">
        <f>Valores!$C$18*B196</f>
        <v>5297.28</v>
      </c>
      <c r="T196" s="125">
        <f t="shared" si="28"/>
        <v>5297.28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IF(Valores!$C$99*B196&gt;Valores!$C$98,Valores!$C$98,Valores!$C$99*B196)</f>
        <v>16171.619999999999</v>
      </c>
      <c r="AA196" s="125">
        <f>IF((Valores!$C$28)*B196&gt;Valores!$F$28,Valores!$F$28,(Valores!$C$28)*B196)</f>
        <v>416.15999999999997</v>
      </c>
      <c r="AB196" s="214">
        <v>0</v>
      </c>
      <c r="AC196" s="125">
        <f t="shared" si="22"/>
        <v>0</v>
      </c>
      <c r="AD196" s="125">
        <f>IF(Valores!$C$29*B196&gt;Valores!$F$29,Valores!$F$29,Valores!$C$29*B196)</f>
        <v>346.56</v>
      </c>
      <c r="AE196" s="192">
        <v>0</v>
      </c>
      <c r="AF196" s="125">
        <f>ROUND(AE196*Valores!$C$2,2)</f>
        <v>0</v>
      </c>
      <c r="AG196" s="125">
        <f>IF($F$4="NO",IF(Valores!$D$64*'Escala Docente'!B196&gt;Valores!$F$64,Valores!$F$64,Valores!$D$64*'Escala Docente'!B196),IF(Valores!$D$64*'Escala Docente'!B196&gt;Valores!$F$64,Valores!$F$64,Valores!$D$64*'Escala Docente'!B196)/2)+0.01</f>
        <v>7914.49</v>
      </c>
      <c r="AH196" s="125">
        <f>SUM(F196,H196,J196,L196,M196,N196,O196,P196,Q196,R196,T196,U196,V196,X196,Y196,Z196,AA196,AC196,AD196,AF196,AG196)*Valores!$C$104</f>
        <v>13779.419999999998</v>
      </c>
      <c r="AI196" s="125">
        <f t="shared" si="25"/>
        <v>151573.62</v>
      </c>
      <c r="AJ196" s="125">
        <f>IF(Valores!$C$33*B196&gt;Valores!$F$33,Valores!$F$33,Valores!$C$33*B196)</f>
        <v>13999.999999999978</v>
      </c>
      <c r="AK196" s="125">
        <v>0</v>
      </c>
      <c r="AL196" s="125">
        <f>IF(Valores!$C$92*B196&gt;Valores!$C$91,Valores!$C$91,Valores!$C$92*B196)</f>
        <v>0</v>
      </c>
      <c r="AM196" s="125">
        <f>IF(Valores!C$40*B196&gt;Valores!F$39,Valores!F$39,Valores!C$40*B196)</f>
        <v>0</v>
      </c>
      <c r="AN196" s="125">
        <f>IF($F$3="NO",0,IF(Valores!$C$62*B196&gt;Valores!$F$62,Valores!$F$62,Valores!$C$62*B196))</f>
        <v>0</v>
      </c>
      <c r="AO196" s="125">
        <f t="shared" si="23"/>
        <v>13999.999999999978</v>
      </c>
      <c r="AP196" s="125">
        <f>AI196*Valores!$C$72</f>
        <v>-16673.0982</v>
      </c>
      <c r="AQ196" s="125">
        <f>IF(AI196&lt;Valores!$E$73,-0.02,IF(AI196&lt;Valores!$F$73,-0.03,-0.04))*AI196</f>
        <v>-3031.4724</v>
      </c>
      <c r="AR196" s="125">
        <f>AI196*Valores!$C$75</f>
        <v>-8336.5491</v>
      </c>
      <c r="AS196" s="125">
        <f>Valores!$C$102</f>
        <v>-1270.16</v>
      </c>
      <c r="AT196" s="125">
        <f>IF($F$5=0,Valores!$C$103,(Valores!$C$103+$F$5*(Valores!$C$103)))</f>
        <v>-11714</v>
      </c>
      <c r="AU196" s="125">
        <f t="shared" si="26"/>
        <v>124548.34029999998</v>
      </c>
      <c r="AV196" s="125">
        <f t="shared" si="20"/>
        <v>-16673.0982</v>
      </c>
      <c r="AW196" s="125">
        <f t="shared" si="27"/>
        <v>-3031.4724</v>
      </c>
      <c r="AX196" s="125">
        <f>AI196*Valores!$C$76</f>
        <v>-4092.48774</v>
      </c>
      <c r="AY196" s="125">
        <f>AI196*Valores!$C$77</f>
        <v>-454.72086</v>
      </c>
      <c r="AZ196" s="125">
        <f t="shared" si="24"/>
        <v>141321.84079999998</v>
      </c>
      <c r="BA196" s="125">
        <f>AI196*Valores!$C$79</f>
        <v>24251.7792</v>
      </c>
      <c r="BB196" s="125">
        <f>AI196*Valores!$C$80</f>
        <v>10610.153400000001</v>
      </c>
      <c r="BC196" s="125">
        <f>AI196*Valores!$C$81</f>
        <v>1515.7362</v>
      </c>
      <c r="BD196" s="125">
        <f>AI196*Valores!$C$83</f>
        <v>5305.0767000000005</v>
      </c>
      <c r="BE196" s="125">
        <f>AI196*Valores!$C$85</f>
        <v>8184.97548</v>
      </c>
      <c r="BF196" s="125">
        <f>AI196*Valores!$C$84</f>
        <v>909.44172</v>
      </c>
      <c r="BG196" s="126"/>
      <c r="BH196" s="126">
        <f t="shared" si="31"/>
        <v>6</v>
      </c>
      <c r="BI196" s="123" t="s">
        <v>4</v>
      </c>
    </row>
    <row r="197" spans="1:61" s="110" customFormat="1" ht="11.25" customHeight="1">
      <c r="A197" s="123" t="s">
        <v>465</v>
      </c>
      <c r="B197" s="123">
        <v>7</v>
      </c>
      <c r="C197" s="126">
        <v>190</v>
      </c>
      <c r="D197" s="124" t="str">
        <f t="shared" si="29"/>
        <v>Hora Cátedra Enseñanza Superior 7 hs</v>
      </c>
      <c r="E197" s="192">
        <f t="shared" si="30"/>
        <v>693</v>
      </c>
      <c r="F197" s="125">
        <f>ROUND(E197*Valores!$C$2,2)</f>
        <v>57366.54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18474.31</v>
      </c>
      <c r="N197" s="125">
        <f t="shared" si="21"/>
        <v>0</v>
      </c>
      <c r="O197" s="125">
        <f>Valores!$C$7*B197</f>
        <v>19650.05</v>
      </c>
      <c r="P197" s="125">
        <f>ROUND(IF(B197&lt;15,(Valores!$E$5*B197),Valores!$D$5),2)</f>
        <v>19747.98</v>
      </c>
      <c r="Q197" s="125">
        <v>0</v>
      </c>
      <c r="R197" s="125">
        <f>IF($F$4="NO",IF(Valores!$C$50*B197&gt;Valores!$F$47,Valores!$F$47,Valores!$C$50*B197),IF(Valores!$C$50*B197&gt;Valores!$F$47,Valores!$F$47,Valores!$C$50*B197)/2)</f>
        <v>10350.550000000001</v>
      </c>
      <c r="S197" s="125">
        <f>Valores!$C$18*B197</f>
        <v>6180.16</v>
      </c>
      <c r="T197" s="125">
        <f t="shared" si="28"/>
        <v>6180.16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IF(Valores!$C$99*B197&gt;Valores!$C$98,Valores!$C$98,Valores!$C$99*B197)</f>
        <v>18866.89</v>
      </c>
      <c r="AA197" s="125">
        <f>IF((Valores!$C$28)*B197&gt;Valores!$F$28,Valores!$F$28,(Valores!$C$28)*B197)</f>
        <v>485.52</v>
      </c>
      <c r="AB197" s="214">
        <v>0</v>
      </c>
      <c r="AC197" s="125">
        <f t="shared" si="22"/>
        <v>0</v>
      </c>
      <c r="AD197" s="125">
        <f>IF(Valores!$C$29*B197&gt;Valores!$F$29,Valores!$F$29,Valores!$C$29*B197)</f>
        <v>404.32</v>
      </c>
      <c r="AE197" s="192">
        <v>0</v>
      </c>
      <c r="AF197" s="125">
        <f>ROUND(AE197*Valores!$C$2,2)</f>
        <v>0</v>
      </c>
      <c r="AG197" s="125">
        <f>IF($F$4="NO",IF(Valores!$D$64*'Escala Docente'!B197&gt;Valores!$F$64,Valores!$F$64,Valores!$D$64*'Escala Docente'!B197),IF(Valores!$D$64*'Escala Docente'!B197&gt;Valores!$F$64,Valores!$F$64,Valores!$D$64*'Escala Docente'!B197)/2)+0.01</f>
        <v>9233.57</v>
      </c>
      <c r="AH197" s="125">
        <f>SUM(F197,H197,J197,L197,M197,N197,O197,P197,Q197,R197,T197,U197,V197,X197,Y197,Z197,AA197,AC197,AD197,AF197,AG197)*Valores!$C$104</f>
        <v>16075.989</v>
      </c>
      <c r="AI197" s="125">
        <f t="shared" si="25"/>
        <v>176835.879</v>
      </c>
      <c r="AJ197" s="125">
        <f>IF(Valores!$C$33*B197&gt;Valores!$F$33,Valores!$F$33,Valores!$C$33*B197)</f>
        <v>16333.333333333308</v>
      </c>
      <c r="AK197" s="125">
        <v>0</v>
      </c>
      <c r="AL197" s="125">
        <f>IF(Valores!$C$92*B197&gt;Valores!$C$91,Valores!$C$91,Valores!$C$92*B197)</f>
        <v>0</v>
      </c>
      <c r="AM197" s="125">
        <f>IF(Valores!C$40*B197&gt;Valores!F$39,Valores!F$39,Valores!C$40*B197)</f>
        <v>0</v>
      </c>
      <c r="AN197" s="125">
        <f>IF($F$3="NO",0,IF(Valores!$C$62*B197&gt;Valores!$F$62,Valores!$F$62,Valores!$C$62*B197))</f>
        <v>0</v>
      </c>
      <c r="AO197" s="125">
        <f t="shared" si="23"/>
        <v>16333.333333333308</v>
      </c>
      <c r="AP197" s="125">
        <f>AI197*Valores!$C$72</f>
        <v>-19451.946689999997</v>
      </c>
      <c r="AQ197" s="125">
        <f>IF(AI197&lt;Valores!$E$73,-0.02,IF(AI197&lt;Valores!$F$73,-0.03,-0.04))*AI197</f>
        <v>-3536.71758</v>
      </c>
      <c r="AR197" s="125">
        <f>AI197*Valores!$C$75</f>
        <v>-9725.973344999999</v>
      </c>
      <c r="AS197" s="125">
        <f>Valores!$C$102</f>
        <v>-1270.16</v>
      </c>
      <c r="AT197" s="125">
        <f>IF($F$5=0,Valores!$C$103,(Valores!$C$103+$F$5*(Valores!$C$103)))</f>
        <v>-11714</v>
      </c>
      <c r="AU197" s="125">
        <f t="shared" si="26"/>
        <v>147470.41471833328</v>
      </c>
      <c r="AV197" s="125">
        <f aca="true" t="shared" si="32" ref="AV197:AV260">AP197</f>
        <v>-19451.946689999997</v>
      </c>
      <c r="AW197" s="125">
        <f t="shared" si="27"/>
        <v>-3536.71758</v>
      </c>
      <c r="AX197" s="125">
        <f>AI197*Valores!$C$76</f>
        <v>-4774.568732999999</v>
      </c>
      <c r="AY197" s="125">
        <f>AI197*Valores!$C$77</f>
        <v>-530.5076369999999</v>
      </c>
      <c r="AZ197" s="125">
        <f t="shared" si="24"/>
        <v>164875.4716933333</v>
      </c>
      <c r="BA197" s="125">
        <f>AI197*Valores!$C$79</f>
        <v>28293.74064</v>
      </c>
      <c r="BB197" s="125">
        <f>AI197*Valores!$C$80</f>
        <v>12378.51153</v>
      </c>
      <c r="BC197" s="125">
        <f>AI197*Valores!$C$81</f>
        <v>1768.35879</v>
      </c>
      <c r="BD197" s="125">
        <f>AI197*Valores!$C$83</f>
        <v>6189.255765</v>
      </c>
      <c r="BE197" s="125">
        <f>AI197*Valores!$C$85</f>
        <v>9549.137465999998</v>
      </c>
      <c r="BF197" s="125">
        <f>AI197*Valores!$C$84</f>
        <v>1061.0152739999999</v>
      </c>
      <c r="BG197" s="126"/>
      <c r="BH197" s="126">
        <f t="shared" si="31"/>
        <v>7</v>
      </c>
      <c r="BI197" s="123" t="s">
        <v>4</v>
      </c>
    </row>
    <row r="198" spans="1:61" s="110" customFormat="1" ht="11.25" customHeight="1">
      <c r="A198" s="123" t="s">
        <v>465</v>
      </c>
      <c r="B198" s="123">
        <v>8</v>
      </c>
      <c r="C198" s="126">
        <v>191</v>
      </c>
      <c r="D198" s="124" t="str">
        <f t="shared" si="29"/>
        <v>Hora Cátedra Enseñanza Superior 8 hs</v>
      </c>
      <c r="E198" s="192">
        <f t="shared" si="30"/>
        <v>792</v>
      </c>
      <c r="F198" s="125">
        <f>ROUND(E198*Valores!$C$2,2)</f>
        <v>65561.76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21113.5</v>
      </c>
      <c r="N198" s="125">
        <f t="shared" si="21"/>
        <v>0</v>
      </c>
      <c r="O198" s="125">
        <f>Valores!$C$7*B198</f>
        <v>22457.2</v>
      </c>
      <c r="P198" s="125">
        <f>ROUND(IF(B198&lt;15,(Valores!$E$5*B198),Valores!$D$5),2)</f>
        <v>22569.12</v>
      </c>
      <c r="Q198" s="125">
        <v>0</v>
      </c>
      <c r="R198" s="125">
        <f>IF($F$4="NO",IF(Valores!$C$50*B198&gt;Valores!$F$47,Valores!$F$47,Valores!$C$50*B198),IF(Valores!$C$50*B198&gt;Valores!$F$47,Valores!$F$47,Valores!$C$50*B198)/2)</f>
        <v>11829.2</v>
      </c>
      <c r="S198" s="125">
        <f>Valores!$C$18*B198</f>
        <v>7063.04</v>
      </c>
      <c r="T198" s="125">
        <f t="shared" si="28"/>
        <v>7063.04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IF(Valores!$C$99*B198&gt;Valores!$C$98,Valores!$C$98,Valores!$C$99*B198)</f>
        <v>21562.16</v>
      </c>
      <c r="AA198" s="125">
        <f>IF((Valores!$C$28)*B198&gt;Valores!$F$28,Valores!$F$28,(Valores!$C$28)*B198)</f>
        <v>554.88</v>
      </c>
      <c r="AB198" s="214">
        <v>0</v>
      </c>
      <c r="AC198" s="125">
        <f t="shared" si="22"/>
        <v>0</v>
      </c>
      <c r="AD198" s="125">
        <f>IF(Valores!$C$29*B198&gt;Valores!$F$29,Valores!$F$29,Valores!$C$29*B198)</f>
        <v>462.08</v>
      </c>
      <c r="AE198" s="192">
        <v>0</v>
      </c>
      <c r="AF198" s="125">
        <f>ROUND(AE198*Valores!$C$2,2)</f>
        <v>0</v>
      </c>
      <c r="AG198" s="125">
        <f>IF($F$4="NO",IF(Valores!$D$64*'Escala Docente'!B198&gt;Valores!$F$64,Valores!$F$64,Valores!$D$64*'Escala Docente'!B198),IF(Valores!$D$64*'Escala Docente'!B198&gt;Valores!$F$64,Valores!$F$64,Valores!$D$64*'Escala Docente'!B198)/2)+0.02</f>
        <v>10552.66</v>
      </c>
      <c r="AH198" s="125">
        <f>SUM(F198,H198,J198,L198,M198,N198,O198,P198,Q198,R198,T198,U198,V198,X198,Y198,Z198,AA198,AC198,AD198,AF198,AG198)*Valores!$C$104</f>
        <v>18372.56</v>
      </c>
      <c r="AI198" s="125">
        <f t="shared" si="25"/>
        <v>202098.16</v>
      </c>
      <c r="AJ198" s="125">
        <f>IF(Valores!$C$33*B198&gt;Valores!$F$33,Valores!$F$33,Valores!$C$33*B198)</f>
        <v>18666.66666666664</v>
      </c>
      <c r="AK198" s="125">
        <v>0</v>
      </c>
      <c r="AL198" s="125">
        <f>IF(Valores!$C$92*B198&gt;Valores!$C$91,Valores!$C$91,Valores!$C$92*B198)</f>
        <v>0</v>
      </c>
      <c r="AM198" s="125">
        <f>IF(Valores!C$40*B198&gt;Valores!F$39,Valores!F$39,Valores!C$40*B198)</f>
        <v>0</v>
      </c>
      <c r="AN198" s="125">
        <f>IF($F$3="NO",0,IF(Valores!$C$62*B198&gt;Valores!$F$62,Valores!$F$62,Valores!$C$62*B198))</f>
        <v>0</v>
      </c>
      <c r="AO198" s="125">
        <f t="shared" si="23"/>
        <v>18666.66666666664</v>
      </c>
      <c r="AP198" s="125">
        <f>AI198*Valores!$C$72</f>
        <v>-22230.7976</v>
      </c>
      <c r="AQ198" s="125">
        <f>IF(AI198&lt;Valores!$E$73,-0.02,IF(AI198&lt;Valores!$F$73,-0.03,-0.04))*AI198</f>
        <v>-4041.9632</v>
      </c>
      <c r="AR198" s="125">
        <f>AI198*Valores!$C$75</f>
        <v>-11115.3988</v>
      </c>
      <c r="AS198" s="125">
        <f>Valores!$C$102</f>
        <v>-1270.16</v>
      </c>
      <c r="AT198" s="125">
        <f>IF($F$5=0,Valores!$C$103,(Valores!$C$103+$F$5*(Valores!$C$103)))</f>
        <v>-11714</v>
      </c>
      <c r="AU198" s="125">
        <f t="shared" si="26"/>
        <v>170392.50706666664</v>
      </c>
      <c r="AV198" s="125">
        <f t="shared" si="32"/>
        <v>-22230.7976</v>
      </c>
      <c r="AW198" s="125">
        <f t="shared" si="27"/>
        <v>-4041.9632</v>
      </c>
      <c r="AX198" s="125">
        <f>AI198*Valores!$C$76</f>
        <v>-5456.65032</v>
      </c>
      <c r="AY198" s="125">
        <f>AI198*Valores!$C$77</f>
        <v>-606.29448</v>
      </c>
      <c r="AZ198" s="125">
        <f t="shared" si="24"/>
        <v>188429.12106666662</v>
      </c>
      <c r="BA198" s="125">
        <f>AI198*Valores!$C$79</f>
        <v>32335.7056</v>
      </c>
      <c r="BB198" s="125">
        <f>AI198*Valores!$C$80</f>
        <v>14146.871200000001</v>
      </c>
      <c r="BC198" s="125">
        <f>AI198*Valores!$C$81</f>
        <v>2020.9816</v>
      </c>
      <c r="BD198" s="125">
        <f>AI198*Valores!$C$83</f>
        <v>7073.435600000001</v>
      </c>
      <c r="BE198" s="125">
        <f>AI198*Valores!$C$85</f>
        <v>10913.30064</v>
      </c>
      <c r="BF198" s="125">
        <f>AI198*Valores!$C$84</f>
        <v>1212.58896</v>
      </c>
      <c r="BG198" s="126"/>
      <c r="BH198" s="126">
        <f t="shared" si="31"/>
        <v>8</v>
      </c>
      <c r="BI198" s="123" t="s">
        <v>4</v>
      </c>
    </row>
    <row r="199" spans="1:61" s="110" customFormat="1" ht="11.25" customHeight="1">
      <c r="A199" s="123" t="s">
        <v>465</v>
      </c>
      <c r="B199" s="123">
        <v>9</v>
      </c>
      <c r="C199" s="126">
        <v>192</v>
      </c>
      <c r="D199" s="124" t="str">
        <f t="shared" si="29"/>
        <v>Hora Cátedra Enseñanza Superior 9 hs</v>
      </c>
      <c r="E199" s="192">
        <f t="shared" si="30"/>
        <v>891</v>
      </c>
      <c r="F199" s="125">
        <f>ROUND(E199*Valores!$C$2,2)</f>
        <v>73756.98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23752.69</v>
      </c>
      <c r="N199" s="125">
        <f t="shared" si="21"/>
        <v>0</v>
      </c>
      <c r="O199" s="125">
        <f>Valores!$C$7*B199</f>
        <v>25264.350000000002</v>
      </c>
      <c r="P199" s="125">
        <f>ROUND(IF(B199&lt;15,(Valores!$E$5*B199),Valores!$D$5),2)</f>
        <v>25390.26</v>
      </c>
      <c r="Q199" s="125">
        <v>0</v>
      </c>
      <c r="R199" s="125">
        <f>IF($F$4="NO",IF(Valores!$C$50*B199&gt;Valores!$F$47,Valores!$F$47,Valores!$C$50*B199),IF(Valores!$C$50*B199&gt;Valores!$F$47,Valores!$F$47,Valores!$C$50*B199)/2)</f>
        <v>13307.85</v>
      </c>
      <c r="S199" s="125">
        <f>Valores!$C$18*B199</f>
        <v>7945.92</v>
      </c>
      <c r="T199" s="125">
        <f t="shared" si="28"/>
        <v>7945.92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IF(Valores!$C$99*B199&gt;Valores!$C$98,Valores!$C$98,Valores!$C$99*B199)</f>
        <v>24257.43</v>
      </c>
      <c r="AA199" s="125">
        <f>IF((Valores!$C$28)*B199&gt;Valores!$F$28,Valores!$F$28,(Valores!$C$28)*B199)</f>
        <v>624.24</v>
      </c>
      <c r="AB199" s="214">
        <v>0</v>
      </c>
      <c r="AC199" s="125">
        <f t="shared" si="22"/>
        <v>0</v>
      </c>
      <c r="AD199" s="125">
        <f>IF(Valores!$C$29*B199&gt;Valores!$F$29,Valores!$F$29,Valores!$C$29*B199)</f>
        <v>519.84</v>
      </c>
      <c r="AE199" s="192">
        <v>0</v>
      </c>
      <c r="AF199" s="125">
        <f>ROUND(AE199*Valores!$C$2,2)</f>
        <v>0</v>
      </c>
      <c r="AG199" s="125">
        <f>IF($F$4="NO",IF(Valores!$D$64*'Escala Docente'!B199&gt;Valores!$F$64,Valores!$F$64,Valores!$D$64*'Escala Docente'!B199),IF(Valores!$D$64*'Escala Docente'!B199&gt;Valores!$F$64,Valores!$F$64,Valores!$D$64*'Escala Docente'!B199)/2)+0.02</f>
        <v>11871.74</v>
      </c>
      <c r="AH199" s="125">
        <f>SUM(F199,H199,J199,L199,M199,N199,O199,P199,Q199,R199,T199,U199,V199,X199,Y199,Z199,AA199,AC199,AD199,AF199,AG199)*Valores!$C$104</f>
        <v>20669.13</v>
      </c>
      <c r="AI199" s="125">
        <f t="shared" si="25"/>
        <v>227360.43</v>
      </c>
      <c r="AJ199" s="125">
        <f>IF(Valores!$C$33*B199&gt;Valores!$F$33,Valores!$F$33,Valores!$C$33*B199)</f>
        <v>20999.999999999967</v>
      </c>
      <c r="AK199" s="125">
        <v>0</v>
      </c>
      <c r="AL199" s="125">
        <f>IF(Valores!$C$92*B199&gt;Valores!$C$91,Valores!$C$91,Valores!$C$92*B199)</f>
        <v>0</v>
      </c>
      <c r="AM199" s="125">
        <f>IF(Valores!C$40*B199&gt;Valores!F$39,Valores!F$39,Valores!C$40*B199)</f>
        <v>0</v>
      </c>
      <c r="AN199" s="125">
        <f>IF($F$3="NO",0,IF(Valores!$C$62*B199&gt;Valores!$F$62,Valores!$F$62,Valores!$C$62*B199))</f>
        <v>0</v>
      </c>
      <c r="AO199" s="125">
        <f t="shared" si="23"/>
        <v>20999.999999999967</v>
      </c>
      <c r="AP199" s="125">
        <f>AI199*Valores!$C$72</f>
        <v>-25009.6473</v>
      </c>
      <c r="AQ199" s="125">
        <f>IF(AI199&lt;Valores!$E$73,-0.02,IF(AI199&lt;Valores!$F$73,-0.03,-0.04))*AI199</f>
        <v>-4547.2086</v>
      </c>
      <c r="AR199" s="125">
        <f>AI199*Valores!$C$75</f>
        <v>-12504.82365</v>
      </c>
      <c r="AS199" s="125">
        <f>Valores!$C$102</f>
        <v>-1270.16</v>
      </c>
      <c r="AT199" s="125">
        <f>IF($F$5=0,Valores!$C$103,(Valores!$C$103+$F$5*(Valores!$C$103)))</f>
        <v>-11714</v>
      </c>
      <c r="AU199" s="125">
        <f t="shared" si="26"/>
        <v>193314.59044999996</v>
      </c>
      <c r="AV199" s="125">
        <f t="shared" si="32"/>
        <v>-25009.6473</v>
      </c>
      <c r="AW199" s="125">
        <f t="shared" si="27"/>
        <v>-4547.2086</v>
      </c>
      <c r="AX199" s="125">
        <f>AI199*Valores!$C$76</f>
        <v>-6138.73161</v>
      </c>
      <c r="AY199" s="125">
        <f>AI199*Valores!$C$77</f>
        <v>-682.08129</v>
      </c>
      <c r="AZ199" s="125">
        <f t="shared" si="24"/>
        <v>211982.76119999995</v>
      </c>
      <c r="BA199" s="125">
        <f>AI199*Valores!$C$79</f>
        <v>36377.6688</v>
      </c>
      <c r="BB199" s="125">
        <f>AI199*Valores!$C$80</f>
        <v>15915.2301</v>
      </c>
      <c r="BC199" s="125">
        <f>AI199*Valores!$C$81</f>
        <v>2273.6043</v>
      </c>
      <c r="BD199" s="125">
        <f>AI199*Valores!$C$83</f>
        <v>7957.61505</v>
      </c>
      <c r="BE199" s="125">
        <f>AI199*Valores!$C$85</f>
        <v>12277.46322</v>
      </c>
      <c r="BF199" s="125">
        <f>AI199*Valores!$C$84</f>
        <v>1364.16258</v>
      </c>
      <c r="BG199" s="126"/>
      <c r="BH199" s="126">
        <f t="shared" si="31"/>
        <v>9</v>
      </c>
      <c r="BI199" s="123" t="s">
        <v>4</v>
      </c>
    </row>
    <row r="200" spans="1:61" s="110" customFormat="1" ht="11.25" customHeight="1">
      <c r="A200" s="123" t="s">
        <v>465</v>
      </c>
      <c r="B200" s="123">
        <v>10</v>
      </c>
      <c r="C200" s="126">
        <v>193</v>
      </c>
      <c r="D200" s="124" t="str">
        <f t="shared" si="29"/>
        <v>Hora Cátedra Enseñanza Superior 10 hs</v>
      </c>
      <c r="E200" s="192">
        <f t="shared" si="30"/>
        <v>990</v>
      </c>
      <c r="F200" s="125">
        <f>ROUND(E200*Valores!$C$2,2)</f>
        <v>81952.2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26391.88</v>
      </c>
      <c r="N200" s="125">
        <f aca="true" t="shared" si="33" ref="N200:N263">ROUND(SUM(F200,H200,J200,L200,X200,R200)*$H$2,2)</f>
        <v>0</v>
      </c>
      <c r="O200" s="125">
        <f>Valores!$C$7*B200</f>
        <v>28071.5</v>
      </c>
      <c r="P200" s="125">
        <f>ROUND(IF(B200&lt;15,(Valores!$E$5*B200),Valores!$D$5),2)</f>
        <v>28211.4</v>
      </c>
      <c r="Q200" s="125">
        <v>0</v>
      </c>
      <c r="R200" s="125">
        <f>IF($F$4="NO",IF(Valores!$C$50*B200&gt;Valores!$F$47,Valores!$F$47,Valores!$C$50*B200),IF(Valores!$C$50*B200&gt;Valores!$F$47,Valores!$F$47,Valores!$C$50*B200)/2)</f>
        <v>14786.5</v>
      </c>
      <c r="S200" s="125">
        <f>Valores!$C$18*B200</f>
        <v>8828.8</v>
      </c>
      <c r="T200" s="125">
        <f t="shared" si="28"/>
        <v>8828.8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IF(Valores!$C$99*B200&gt;Valores!$C$98,Valores!$C$98,Valores!$C$99*B200)</f>
        <v>26952.7</v>
      </c>
      <c r="AA200" s="125">
        <f>IF((Valores!$C$28)*B200&gt;Valores!$F$28,Valores!$F$28,(Valores!$C$28)*B200)</f>
        <v>693.6</v>
      </c>
      <c r="AB200" s="214">
        <v>0</v>
      </c>
      <c r="AC200" s="125">
        <f aca="true" t="shared" si="34" ref="AC200:AC263">ROUND(SUM(F200,H200,J200,X200,R200)*AB200,2)</f>
        <v>0</v>
      </c>
      <c r="AD200" s="125">
        <f>IF(Valores!$C$29*B200&gt;Valores!$F$29,Valores!$F$29,Valores!$C$29*B200)</f>
        <v>577.6</v>
      </c>
      <c r="AE200" s="192">
        <v>0</v>
      </c>
      <c r="AF200" s="125">
        <f>ROUND(AE200*Valores!$C$2,2)</f>
        <v>0</v>
      </c>
      <c r="AG200" s="125">
        <f>IF($F$4="NO",IF(Valores!$D$64*'Escala Docente'!B200&gt;Valores!$F$64,Valores!$F$64,Valores!$D$64*'Escala Docente'!B200),IF(Valores!$D$64*'Escala Docente'!B200&gt;Valores!$F$64,Valores!$F$64,Valores!$D$64*'Escala Docente'!B200)/2)+0.02</f>
        <v>13190.82</v>
      </c>
      <c r="AH200" s="125">
        <f>SUM(F200,H200,J200,L200,M200,N200,O200,P200,Q200,R200,T200,U200,V200,X200,Y200,Z200,AA200,AC200,AD200,AF200,AG200)*Valores!$C$104</f>
        <v>22965.700000000004</v>
      </c>
      <c r="AI200" s="125">
        <f t="shared" si="25"/>
        <v>252622.70000000004</v>
      </c>
      <c r="AJ200" s="125">
        <f>IF(Valores!$C$33*B200&gt;Valores!$F$33,Valores!$F$33,Valores!$C$33*B200)</f>
        <v>23333.3333333333</v>
      </c>
      <c r="AK200" s="125">
        <v>0</v>
      </c>
      <c r="AL200" s="125">
        <f>IF(Valores!$C$92*B200&gt;Valores!$C$91,Valores!$C$91,Valores!$C$92*B200)</f>
        <v>0</v>
      </c>
      <c r="AM200" s="125">
        <f>IF(Valores!C$40*B200&gt;Valores!F$39,Valores!F$39,Valores!C$40*B200)</f>
        <v>0</v>
      </c>
      <c r="AN200" s="125">
        <f>IF($F$3="NO",0,IF(Valores!$C$62*B200&gt;Valores!$F$62,Valores!$F$62,Valores!$C$62*B200))</f>
        <v>0</v>
      </c>
      <c r="AO200" s="125">
        <f aca="true" t="shared" si="35" ref="AO200:AO263">SUM(AJ200:AN200)</f>
        <v>23333.3333333333</v>
      </c>
      <c r="AP200" s="125">
        <f>AI200*Valores!$C$72</f>
        <v>-27788.497000000003</v>
      </c>
      <c r="AQ200" s="125">
        <f>IF(AI200&lt;Valores!$E$73,-0.02,IF(AI200&lt;Valores!$F$73,-0.03,-0.04))*AI200</f>
        <v>-5052.454000000001</v>
      </c>
      <c r="AR200" s="125">
        <f>AI200*Valores!$C$75</f>
        <v>-13894.248500000002</v>
      </c>
      <c r="AS200" s="125">
        <f>Valores!$C$102</f>
        <v>-1270.16</v>
      </c>
      <c r="AT200" s="125">
        <f>IF($F$5=0,Valores!$C$103,(Valores!$C$103+$F$5*(Valores!$C$103)))</f>
        <v>-11714</v>
      </c>
      <c r="AU200" s="125">
        <f t="shared" si="26"/>
        <v>216236.67383333333</v>
      </c>
      <c r="AV200" s="125">
        <f t="shared" si="32"/>
        <v>-27788.497000000003</v>
      </c>
      <c r="AW200" s="125">
        <f t="shared" si="27"/>
        <v>-5052.454000000001</v>
      </c>
      <c r="AX200" s="125">
        <f>AI200*Valores!$C$76</f>
        <v>-6820.812900000001</v>
      </c>
      <c r="AY200" s="125">
        <f>AI200*Valores!$C$77</f>
        <v>-757.8681000000001</v>
      </c>
      <c r="AZ200" s="125">
        <f aca="true" t="shared" si="36" ref="AZ200:AZ263">AI200+AO200+SUM(AV200:AY200)</f>
        <v>235536.4013333333</v>
      </c>
      <c r="BA200" s="125">
        <f>AI200*Valores!$C$79</f>
        <v>40419.632000000005</v>
      </c>
      <c r="BB200" s="125">
        <f>AI200*Valores!$C$80</f>
        <v>17683.589000000004</v>
      </c>
      <c r="BC200" s="125">
        <f>AI200*Valores!$C$81</f>
        <v>2526.2270000000003</v>
      </c>
      <c r="BD200" s="125">
        <f>AI200*Valores!$C$83</f>
        <v>8841.794500000002</v>
      </c>
      <c r="BE200" s="125">
        <f>AI200*Valores!$C$85</f>
        <v>13641.625800000002</v>
      </c>
      <c r="BF200" s="125">
        <f>AI200*Valores!$C$84</f>
        <v>1515.7362000000003</v>
      </c>
      <c r="BG200" s="126"/>
      <c r="BH200" s="126">
        <f t="shared" si="31"/>
        <v>10</v>
      </c>
      <c r="BI200" s="123" t="s">
        <v>4</v>
      </c>
    </row>
    <row r="201" spans="1:61" s="110" customFormat="1" ht="11.25" customHeight="1">
      <c r="A201" s="123" t="s">
        <v>465</v>
      </c>
      <c r="B201" s="123">
        <v>11</v>
      </c>
      <c r="C201" s="126">
        <v>194</v>
      </c>
      <c r="D201" s="124" t="str">
        <f t="shared" si="29"/>
        <v>Hora Cátedra Enseñanza Superior 11 hs</v>
      </c>
      <c r="E201" s="192">
        <f t="shared" si="30"/>
        <v>1089</v>
      </c>
      <c r="F201" s="125">
        <f>ROUND(E201*Valores!$C$2,2)</f>
        <v>90147.42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29031.06</v>
      </c>
      <c r="N201" s="125">
        <f t="shared" si="33"/>
        <v>0</v>
      </c>
      <c r="O201" s="125">
        <f>Valores!$C$7*B201</f>
        <v>30878.65</v>
      </c>
      <c r="P201" s="125">
        <f>ROUND(IF(B201&lt;15,(Valores!$E$5*B201),Valores!$D$5),2)</f>
        <v>31032.54</v>
      </c>
      <c r="Q201" s="125">
        <v>0</v>
      </c>
      <c r="R201" s="125">
        <f>IF($F$4="NO",IF(Valores!$C$50*B201&gt;Valores!$F$47,Valores!$F$47,Valores!$C$50*B201),IF(Valores!$C$50*B201&gt;Valores!$F$47,Valores!$F$47,Valores!$C$50*B201)/2)</f>
        <v>16265.150000000001</v>
      </c>
      <c r="S201" s="125">
        <f>Valores!$C$18*B201</f>
        <v>9711.68</v>
      </c>
      <c r="T201" s="125">
        <f t="shared" si="28"/>
        <v>9711.68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IF(Valores!$C$99*B201&gt;Valores!$C$98,Valores!$C$98,Valores!$C$99*B201)</f>
        <v>29647.97</v>
      </c>
      <c r="AA201" s="125">
        <f>IF((Valores!$C$28)*B201&gt;Valores!$F$28,Valores!$F$28,(Valores!$C$28)*B201)</f>
        <v>762.96</v>
      </c>
      <c r="AB201" s="214">
        <v>0</v>
      </c>
      <c r="AC201" s="125">
        <f t="shared" si="34"/>
        <v>0</v>
      </c>
      <c r="AD201" s="125">
        <f>IF(Valores!$C$29*B201&gt;Valores!$F$29,Valores!$F$29,Valores!$C$29*B201)</f>
        <v>635.36</v>
      </c>
      <c r="AE201" s="192">
        <v>0</v>
      </c>
      <c r="AF201" s="125">
        <f>ROUND(AE201*Valores!$C$2,2)</f>
        <v>0</v>
      </c>
      <c r="AG201" s="125">
        <f>IF($F$4="NO",IF(Valores!$D$64*'Escala Docente'!B201&gt;Valores!$F$64,Valores!$F$64,Valores!$D$64*'Escala Docente'!B201),IF(Valores!$D$64*'Escala Docente'!B201&gt;Valores!$F$64,Valores!$F$64,Valores!$D$64*'Escala Docente'!B201)/2)+0.02</f>
        <v>14509.9</v>
      </c>
      <c r="AH201" s="125">
        <f>SUM(F201,H201,J201,L201,M201,N201,O201,P201,Q201,R201,T201,U201,V201,X201,Y201,Z201,AA201,AC201,AD201,AF201,AG201)*Valores!$C$104</f>
        <v>25262.269</v>
      </c>
      <c r="AI201" s="125">
        <f aca="true" t="shared" si="37" ref="AI201:AI264">SUM(F201,H201,J201,L201,M201,N201,O201,P201,Q201,R201,T201,U201,V201,X201,Y201,Z201,AA201,AC201,AD201,AF201,AG201,AH201)</f>
        <v>277884.959</v>
      </c>
      <c r="AJ201" s="125">
        <f>IF(Valores!$C$33*B201&gt;Valores!$F$33,Valores!$F$33,Valores!$C$33*B201)</f>
        <v>25666.666666666628</v>
      </c>
      <c r="AK201" s="125">
        <v>0</v>
      </c>
      <c r="AL201" s="125">
        <f>IF(Valores!$C$92*B201&gt;Valores!$C$91,Valores!$C$91,Valores!$C$92*B201)</f>
        <v>0</v>
      </c>
      <c r="AM201" s="125">
        <f>IF(Valores!C$40*B201&gt;Valores!F$39,Valores!F$39,Valores!C$40*B201)</f>
        <v>0</v>
      </c>
      <c r="AN201" s="125">
        <f>IF($F$3="NO",0,IF(Valores!$C$62*B201&gt;Valores!$F$62,Valores!$F$62,Valores!$C$62*B201))</f>
        <v>0</v>
      </c>
      <c r="AO201" s="125">
        <f t="shared" si="35"/>
        <v>25666.666666666628</v>
      </c>
      <c r="AP201" s="125">
        <f>AI201*Valores!$C$72</f>
        <v>-30567.345489999996</v>
      </c>
      <c r="AQ201" s="125">
        <f>IF(AI201&lt;Valores!$E$73,-0.02,IF(AI201&lt;Valores!$F$73,-0.03,-0.04))*AI201</f>
        <v>-5557.69918</v>
      </c>
      <c r="AR201" s="125">
        <f>AI201*Valores!$C$75</f>
        <v>-15283.672744999998</v>
      </c>
      <c r="AS201" s="125">
        <f>Valores!$C$102</f>
        <v>-1270.16</v>
      </c>
      <c r="AT201" s="125">
        <f>IF($F$5=0,Valores!$C$103,(Valores!$C$103+$F$5*(Valores!$C$103)))</f>
        <v>-11714</v>
      </c>
      <c r="AU201" s="125">
        <f aca="true" t="shared" si="38" ref="AU201:AU264">AI201+SUM(AO201:AT201)</f>
        <v>239158.7482516666</v>
      </c>
      <c r="AV201" s="125">
        <f t="shared" si="32"/>
        <v>-30567.345489999996</v>
      </c>
      <c r="AW201" s="125">
        <f aca="true" t="shared" si="39" ref="AW201:AW264">AQ201</f>
        <v>-5557.69918</v>
      </c>
      <c r="AX201" s="125">
        <f>AI201*Valores!$C$76</f>
        <v>-7502.8938929999995</v>
      </c>
      <c r="AY201" s="125">
        <f>AI201*Valores!$C$77</f>
        <v>-833.6548769999999</v>
      </c>
      <c r="AZ201" s="125">
        <f t="shared" si="36"/>
        <v>259090.0322266666</v>
      </c>
      <c r="BA201" s="125">
        <f>AI201*Valores!$C$79</f>
        <v>44461.59344</v>
      </c>
      <c r="BB201" s="125">
        <f>AI201*Valores!$C$80</f>
        <v>19451.94713</v>
      </c>
      <c r="BC201" s="125">
        <f>AI201*Valores!$C$81</f>
        <v>2778.84959</v>
      </c>
      <c r="BD201" s="125">
        <f>AI201*Valores!$C$83</f>
        <v>9725.973565</v>
      </c>
      <c r="BE201" s="125">
        <f>AI201*Valores!$C$85</f>
        <v>15005.787785999999</v>
      </c>
      <c r="BF201" s="125">
        <f>AI201*Valores!$C$84</f>
        <v>1667.3097539999999</v>
      </c>
      <c r="BG201" s="126"/>
      <c r="BH201" s="126">
        <f t="shared" si="31"/>
        <v>11</v>
      </c>
      <c r="BI201" s="123" t="s">
        <v>4</v>
      </c>
    </row>
    <row r="202" spans="1:61" s="110" customFormat="1" ht="11.25" customHeight="1">
      <c r="A202" s="123" t="s">
        <v>465</v>
      </c>
      <c r="B202" s="123">
        <v>12</v>
      </c>
      <c r="C202" s="126">
        <v>195</v>
      </c>
      <c r="D202" s="124" t="str">
        <f t="shared" si="29"/>
        <v>Hora Cátedra Enseñanza Superior 12 hs</v>
      </c>
      <c r="E202" s="192">
        <f t="shared" si="30"/>
        <v>1188</v>
      </c>
      <c r="F202" s="125">
        <f>ROUND(E202*Valores!$C$2,2)</f>
        <v>98342.64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31670.25</v>
      </c>
      <c r="N202" s="125">
        <f t="shared" si="33"/>
        <v>0</v>
      </c>
      <c r="O202" s="125">
        <f>Valores!$C$7*B202</f>
        <v>33685.8</v>
      </c>
      <c r="P202" s="125">
        <f>ROUND(IF(B202&lt;15,(Valores!$E$5*B202),Valores!$D$5),2)</f>
        <v>33853.68</v>
      </c>
      <c r="Q202" s="125">
        <v>0</v>
      </c>
      <c r="R202" s="125">
        <f>IF($F$4="NO",IF(Valores!$C$50*B202&gt;Valores!$F$47,Valores!$F$47,Valores!$C$50*B202),IF(Valores!$C$50*B202&gt;Valores!$F$47,Valores!$F$47,Valores!$C$50*B202)/2)</f>
        <v>17743.800000000003</v>
      </c>
      <c r="S202" s="125">
        <f>Valores!$C$18*B202</f>
        <v>10594.56</v>
      </c>
      <c r="T202" s="125">
        <f t="shared" si="28"/>
        <v>10594.56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IF(Valores!$C$99*B202&gt;Valores!$C$98,Valores!$C$98,Valores!$C$99*B202)</f>
        <v>32343.239999999998</v>
      </c>
      <c r="AA202" s="125">
        <f>IF((Valores!$C$28)*B202&gt;Valores!$F$28,Valores!$F$28,(Valores!$C$28)*B202)</f>
        <v>832.3199999999999</v>
      </c>
      <c r="AB202" s="214">
        <v>0</v>
      </c>
      <c r="AC202" s="125">
        <f t="shared" si="34"/>
        <v>0</v>
      </c>
      <c r="AD202" s="125">
        <f>IF(Valores!$C$29*B202&gt;Valores!$F$29,Valores!$F$29,Valores!$C$29*B202)</f>
        <v>693.12</v>
      </c>
      <c r="AE202" s="192">
        <v>0</v>
      </c>
      <c r="AF202" s="125">
        <f>ROUND(AE202*Valores!$C$2,2)</f>
        <v>0</v>
      </c>
      <c r="AG202" s="125">
        <f>IF($F$4="NO",IF(Valores!$D$64*'Escala Docente'!B202&gt;Valores!$F$64,Valores!$F$64,Valores!$D$64*'Escala Docente'!B202),IF(Valores!$D$64*'Escala Docente'!B202&gt;Valores!$F$64,Valores!$F$64,Valores!$D$64*'Escala Docente'!B202)/2)+0.02</f>
        <v>15828.98</v>
      </c>
      <c r="AH202" s="125">
        <f>SUM(F202,H202,J202,L202,M202,N202,O202,P202,Q202,R202,T202,U202,V202,X202,Y202,Z202,AA202,AC202,AD202,AF202,AG202)*Valores!$C$104</f>
        <v>27558.838999999996</v>
      </c>
      <c r="AI202" s="125">
        <f t="shared" si="37"/>
        <v>303147.22899999993</v>
      </c>
      <c r="AJ202" s="125">
        <f>IF(Valores!$C$33*B202&gt;Valores!$F$33,Valores!$F$33,Valores!$C$33*B202)</f>
        <v>27999.999999999956</v>
      </c>
      <c r="AK202" s="125">
        <v>0</v>
      </c>
      <c r="AL202" s="125">
        <f>IF(Valores!$C$92*B202&gt;Valores!$C$91,Valores!$C$91,Valores!$C$92*B202)</f>
        <v>0</v>
      </c>
      <c r="AM202" s="125">
        <f>IF(Valores!C$40*B202&gt;Valores!F$39,Valores!F$39,Valores!C$40*B202)</f>
        <v>0</v>
      </c>
      <c r="AN202" s="125">
        <f>IF($F$3="NO",0,IF(Valores!$C$62*B202&gt;Valores!$F$62,Valores!$F$62,Valores!$C$62*B202))</f>
        <v>0</v>
      </c>
      <c r="AO202" s="125">
        <f t="shared" si="35"/>
        <v>27999.999999999956</v>
      </c>
      <c r="AP202" s="125">
        <f>AI202*Valores!$C$72</f>
        <v>-33346.19518999999</v>
      </c>
      <c r="AQ202" s="125">
        <f>IF(AI202&lt;Valores!$E$73,-0.02,IF(AI202&lt;Valores!$F$73,-0.03,-0.04))*AI202</f>
        <v>-6062.9445799999985</v>
      </c>
      <c r="AR202" s="125">
        <f>AI202*Valores!$C$75</f>
        <v>-16673.097594999996</v>
      </c>
      <c r="AS202" s="125">
        <f>Valores!$C$102</f>
        <v>-1270.16</v>
      </c>
      <c r="AT202" s="125">
        <f>IF($F$5=0,Valores!$C$103,(Valores!$C$103+$F$5*(Valores!$C$103)))</f>
        <v>-11714</v>
      </c>
      <c r="AU202" s="125">
        <f t="shared" si="38"/>
        <v>262080.8316349999</v>
      </c>
      <c r="AV202" s="125">
        <f t="shared" si="32"/>
        <v>-33346.19518999999</v>
      </c>
      <c r="AW202" s="125">
        <f t="shared" si="39"/>
        <v>-6062.9445799999985</v>
      </c>
      <c r="AX202" s="125">
        <f>AI202*Valores!$C$76</f>
        <v>-8184.975182999998</v>
      </c>
      <c r="AY202" s="125">
        <f>AI202*Valores!$C$77</f>
        <v>-909.4416869999998</v>
      </c>
      <c r="AZ202" s="125">
        <f t="shared" si="36"/>
        <v>282643.6723599999</v>
      </c>
      <c r="BA202" s="125">
        <f>AI202*Valores!$C$79</f>
        <v>48503.55663999999</v>
      </c>
      <c r="BB202" s="125">
        <f>AI202*Valores!$C$80</f>
        <v>21220.306029999996</v>
      </c>
      <c r="BC202" s="125">
        <f>AI202*Valores!$C$81</f>
        <v>3031.4722899999992</v>
      </c>
      <c r="BD202" s="125">
        <f>AI202*Valores!$C$83</f>
        <v>10610.153014999998</v>
      </c>
      <c r="BE202" s="125">
        <f>AI202*Valores!$C$85</f>
        <v>16369.950365999995</v>
      </c>
      <c r="BF202" s="125">
        <f>AI202*Valores!$C$84</f>
        <v>1818.8833739999995</v>
      </c>
      <c r="BG202" s="126"/>
      <c r="BH202" s="126">
        <f t="shared" si="31"/>
        <v>12</v>
      </c>
      <c r="BI202" s="123" t="s">
        <v>4</v>
      </c>
    </row>
    <row r="203" spans="1:61" s="110" customFormat="1" ht="11.25" customHeight="1">
      <c r="A203" s="123" t="s">
        <v>465</v>
      </c>
      <c r="B203" s="123">
        <v>13</v>
      </c>
      <c r="C203" s="126">
        <v>196</v>
      </c>
      <c r="D203" s="124" t="str">
        <f t="shared" si="29"/>
        <v>Hora Cátedra Enseñanza Superior 13 hs</v>
      </c>
      <c r="E203" s="192">
        <f t="shared" si="30"/>
        <v>1287</v>
      </c>
      <c r="F203" s="125">
        <f>ROUND(E203*Valores!$C$2,2)</f>
        <v>106537.86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34309.44</v>
      </c>
      <c r="N203" s="125">
        <f t="shared" si="33"/>
        <v>0</v>
      </c>
      <c r="O203" s="125">
        <f>Valores!$C$7*B203</f>
        <v>36492.950000000004</v>
      </c>
      <c r="P203" s="125">
        <f>ROUND(IF(B203&lt;15,(Valores!$E$5*B203),Valores!$D$5),2)</f>
        <v>36674.82</v>
      </c>
      <c r="Q203" s="125">
        <v>0</v>
      </c>
      <c r="R203" s="125">
        <f>IF($F$4="NO",IF(Valores!$C$50*B203&gt;Valores!$F$47,Valores!$F$47,Valores!$C$50*B203),IF(Valores!$C$50*B203&gt;Valores!$F$47,Valores!$F$47,Valores!$C$50*B203)/2)</f>
        <v>19222.45</v>
      </c>
      <c r="S203" s="125">
        <f>Valores!$C$18*B203</f>
        <v>11477.44</v>
      </c>
      <c r="T203" s="125">
        <f aca="true" t="shared" si="40" ref="T203:T266">ROUND(S203*(1+$H$2),2)</f>
        <v>11477.44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IF(Valores!$C$99*B203&gt;Valores!$C$98,Valores!$C$98,Valores!$C$99*B203)</f>
        <v>35038.51</v>
      </c>
      <c r="AA203" s="125">
        <f>IF((Valores!$C$28)*B203&gt;Valores!$F$28,Valores!$F$28,(Valores!$C$28)*B203)</f>
        <v>901.68</v>
      </c>
      <c r="AB203" s="214">
        <v>0</v>
      </c>
      <c r="AC203" s="125">
        <f t="shared" si="34"/>
        <v>0</v>
      </c>
      <c r="AD203" s="125">
        <f>IF(Valores!$C$29*B203&gt;Valores!$F$29,Valores!$F$29,Valores!$C$29*B203)</f>
        <v>750.88</v>
      </c>
      <c r="AE203" s="192">
        <v>0</v>
      </c>
      <c r="AF203" s="125">
        <f>ROUND(AE203*Valores!$C$2,2)</f>
        <v>0</v>
      </c>
      <c r="AG203" s="125">
        <f>IF($F$4="NO",IF(Valores!$D$64*'Escala Docente'!B203&gt;Valores!$F$64,Valores!$F$64,Valores!$D$64*'Escala Docente'!B203),IF(Valores!$D$64*'Escala Docente'!B203&gt;Valores!$F$64,Valores!$F$64,Valores!$D$64*'Escala Docente'!B203)/2)+0.03</f>
        <v>17148.07</v>
      </c>
      <c r="AH203" s="125">
        <f>SUM(F203,H203,J203,L203,M203,N203,O203,P203,Q203,R203,T203,U203,V203,X203,Y203,Z203,AA203,AC203,AD203,AF203,AG203)*Valores!$C$104</f>
        <v>29855.410000000003</v>
      </c>
      <c r="AI203" s="125">
        <f t="shared" si="37"/>
        <v>328409.51</v>
      </c>
      <c r="AJ203" s="125">
        <f>IF(Valores!$C$33*B203&gt;Valores!$F$33,Valores!$F$33,Valores!$C$33*B203)</f>
        <v>30333.33333333329</v>
      </c>
      <c r="AK203" s="125">
        <v>0</v>
      </c>
      <c r="AL203" s="125">
        <f>IF(Valores!$C$92*B203&gt;Valores!$C$91,Valores!$C$91,Valores!$C$92*B203)</f>
        <v>0</v>
      </c>
      <c r="AM203" s="125">
        <f>IF(Valores!C$40*B203&gt;Valores!F$39,Valores!F$39,Valores!C$40*B203)</f>
        <v>0</v>
      </c>
      <c r="AN203" s="125">
        <f>IF($F$3="NO",0,IF(Valores!$C$62*B203&gt;Valores!$F$62,Valores!$F$62,Valores!$C$62*B203))</f>
        <v>0</v>
      </c>
      <c r="AO203" s="125">
        <f t="shared" si="35"/>
        <v>30333.33333333329</v>
      </c>
      <c r="AP203" s="125">
        <f>AI203*Valores!$C$72</f>
        <v>-36125.0461</v>
      </c>
      <c r="AQ203" s="125">
        <f>IF(AI203&lt;Valores!$E$73,-0.02,IF(AI203&lt;Valores!$F$73,-0.03,-0.04))*AI203</f>
        <v>-6568.1902</v>
      </c>
      <c r="AR203" s="125">
        <f>AI203*Valores!$C$75</f>
        <v>-18062.52305</v>
      </c>
      <c r="AS203" s="125">
        <f>Valores!$C$102</f>
        <v>-1270.16</v>
      </c>
      <c r="AT203" s="125">
        <f>IF($F$5=0,Valores!$C$103,(Valores!$C$103+$F$5*(Valores!$C$103)))</f>
        <v>-11714</v>
      </c>
      <c r="AU203" s="125">
        <f t="shared" si="38"/>
        <v>285002.9239833333</v>
      </c>
      <c r="AV203" s="125">
        <f t="shared" si="32"/>
        <v>-36125.0461</v>
      </c>
      <c r="AW203" s="125">
        <f t="shared" si="39"/>
        <v>-6568.1902</v>
      </c>
      <c r="AX203" s="125">
        <f>AI203*Valores!$C$76</f>
        <v>-8867.056770000001</v>
      </c>
      <c r="AY203" s="125">
        <f>AI203*Valores!$C$77</f>
        <v>-985.2285300000001</v>
      </c>
      <c r="AZ203" s="125">
        <f t="shared" si="36"/>
        <v>306197.32173333335</v>
      </c>
      <c r="BA203" s="125">
        <f>AI203*Valores!$C$79</f>
        <v>52545.5216</v>
      </c>
      <c r="BB203" s="125">
        <f>AI203*Valores!$C$80</f>
        <v>22988.6657</v>
      </c>
      <c r="BC203" s="125">
        <f>AI203*Valores!$C$81</f>
        <v>3284.0951</v>
      </c>
      <c r="BD203" s="125">
        <f>AI203*Valores!$C$83</f>
        <v>11494.33285</v>
      </c>
      <c r="BE203" s="125">
        <f>AI203*Valores!$C$85</f>
        <v>17734.113540000002</v>
      </c>
      <c r="BF203" s="125">
        <f>AI203*Valores!$C$84</f>
        <v>1970.4570600000002</v>
      </c>
      <c r="BG203" s="126"/>
      <c r="BH203" s="126">
        <f t="shared" si="31"/>
        <v>13</v>
      </c>
      <c r="BI203" s="123" t="s">
        <v>4</v>
      </c>
    </row>
    <row r="204" spans="1:61" s="110" customFormat="1" ht="11.25" customHeight="1">
      <c r="A204" s="123" t="s">
        <v>465</v>
      </c>
      <c r="B204" s="123">
        <v>14</v>
      </c>
      <c r="C204" s="126">
        <v>197</v>
      </c>
      <c r="D204" s="124" t="str">
        <f t="shared" si="29"/>
        <v>Hora Cátedra Enseñanza Superior 14 hs</v>
      </c>
      <c r="E204" s="192">
        <f t="shared" si="30"/>
        <v>1386</v>
      </c>
      <c r="F204" s="125">
        <f>ROUND(E204*Valores!$C$2,2)</f>
        <v>114733.08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36948.63</v>
      </c>
      <c r="N204" s="125">
        <f t="shared" si="33"/>
        <v>0</v>
      </c>
      <c r="O204" s="125">
        <f>Valores!$C$7*B204</f>
        <v>39300.1</v>
      </c>
      <c r="P204" s="125">
        <f>ROUND(IF(B204&lt;15,(Valores!$E$5*B204),Valores!$D$5),2)</f>
        <v>39495.96</v>
      </c>
      <c r="Q204" s="125">
        <v>0</v>
      </c>
      <c r="R204" s="125">
        <f>IF($F$4="NO",IF(Valores!$C$50*B204&gt;Valores!$F$47,Valores!$F$47,Valores!$C$50*B204),IF(Valores!$C$50*B204&gt;Valores!$F$47,Valores!$F$47,Valores!$C$50*B204)/2)</f>
        <v>20701.100000000002</v>
      </c>
      <c r="S204" s="125">
        <f>Valores!$C$18*B204</f>
        <v>12360.32</v>
      </c>
      <c r="T204" s="125">
        <f t="shared" si="40"/>
        <v>12360.32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IF(Valores!$C$99*B204&gt;Valores!$C$98,Valores!$C$98,Valores!$C$99*B204)</f>
        <v>37733.78</v>
      </c>
      <c r="AA204" s="125">
        <f>IF((Valores!$C$28)*B204&gt;Valores!$F$28,Valores!$F$28,(Valores!$C$28)*B204)</f>
        <v>971.04</v>
      </c>
      <c r="AB204" s="214">
        <v>0</v>
      </c>
      <c r="AC204" s="125">
        <f t="shared" si="34"/>
        <v>0</v>
      </c>
      <c r="AD204" s="125">
        <f>IF(Valores!$C$29*B204&gt;Valores!$F$29,Valores!$F$29,Valores!$C$29*B204)</f>
        <v>808.64</v>
      </c>
      <c r="AE204" s="192">
        <v>0</v>
      </c>
      <c r="AF204" s="125">
        <f>ROUND(AE204*Valores!$C$2,2)</f>
        <v>0</v>
      </c>
      <c r="AG204" s="125">
        <f>IF($F$4="NO",IF(Valores!$D$64*'Escala Docente'!B204&gt;Valores!$F$64,Valores!$F$64,Valores!$D$64*'Escala Docente'!B204),IF(Valores!$D$64*'Escala Docente'!B204&gt;Valores!$F$64,Valores!$F$64,Valores!$D$64*'Escala Docente'!B204)/2)+0.03</f>
        <v>18467.149999999998</v>
      </c>
      <c r="AH204" s="125">
        <f>SUM(F204,H204,J204,L204,M204,N204,O204,P204,Q204,R204,T204,U204,V204,X204,Y204,Z204,AA204,AC204,AD204,AF204,AG204)*Valores!$C$104</f>
        <v>32151.98</v>
      </c>
      <c r="AI204" s="125">
        <f t="shared" si="37"/>
        <v>353671.77999999997</v>
      </c>
      <c r="AJ204" s="125">
        <f>IF(Valores!$C$33*B204&gt;Valores!$F$33,Valores!$F$33,Valores!$C$33*B204)</f>
        <v>32666.666666666617</v>
      </c>
      <c r="AK204" s="125">
        <v>0</v>
      </c>
      <c r="AL204" s="125">
        <f>IF(Valores!$C$92*B204&gt;Valores!$C$91,Valores!$C$91,Valores!$C$92*B204)</f>
        <v>0</v>
      </c>
      <c r="AM204" s="125">
        <f>IF(Valores!C$40*B204&gt;Valores!F$39,Valores!F$39,Valores!C$40*B204)</f>
        <v>0</v>
      </c>
      <c r="AN204" s="125">
        <f>IF($F$3="NO",0,IF(Valores!$C$62*B204&gt;Valores!$F$62,Valores!$F$62,Valores!$C$62*B204))</f>
        <v>0</v>
      </c>
      <c r="AO204" s="125">
        <f t="shared" si="35"/>
        <v>32666.666666666617</v>
      </c>
      <c r="AP204" s="125">
        <f>AI204*Valores!$C$72</f>
        <v>-38903.8958</v>
      </c>
      <c r="AQ204" s="125">
        <f>IF(AI204&lt;Valores!$E$73,-0.02,IF(AI204&lt;Valores!$F$73,-0.03,-0.04))*AI204</f>
        <v>-7073.4356</v>
      </c>
      <c r="AR204" s="125">
        <f>AI204*Valores!$C$75</f>
        <v>-19451.9479</v>
      </c>
      <c r="AS204" s="125">
        <f>Valores!$C$102</f>
        <v>-1270.16</v>
      </c>
      <c r="AT204" s="125">
        <f>IF($F$5=0,Valores!$C$103,(Valores!$C$103+$F$5*(Valores!$C$103)))</f>
        <v>-11714</v>
      </c>
      <c r="AU204" s="125">
        <f t="shared" si="38"/>
        <v>307925.00736666657</v>
      </c>
      <c r="AV204" s="125">
        <f t="shared" si="32"/>
        <v>-38903.8958</v>
      </c>
      <c r="AW204" s="125">
        <f t="shared" si="39"/>
        <v>-7073.4356</v>
      </c>
      <c r="AX204" s="125">
        <f>AI204*Valores!$C$76</f>
        <v>-9549.13806</v>
      </c>
      <c r="AY204" s="125">
        <f>AI204*Valores!$C$77</f>
        <v>-1061.01534</v>
      </c>
      <c r="AZ204" s="125">
        <f t="shared" si="36"/>
        <v>329750.9618666666</v>
      </c>
      <c r="BA204" s="125">
        <f>AI204*Valores!$C$79</f>
        <v>56587.4848</v>
      </c>
      <c r="BB204" s="125">
        <f>AI204*Valores!$C$80</f>
        <v>24757.0246</v>
      </c>
      <c r="BC204" s="125">
        <f>AI204*Valores!$C$81</f>
        <v>3536.7178</v>
      </c>
      <c r="BD204" s="125">
        <f>AI204*Valores!$C$83</f>
        <v>12378.5123</v>
      </c>
      <c r="BE204" s="125">
        <f>AI204*Valores!$C$85</f>
        <v>19098.27612</v>
      </c>
      <c r="BF204" s="125">
        <f>AI204*Valores!$C$84</f>
        <v>2122.03068</v>
      </c>
      <c r="BG204" s="126"/>
      <c r="BH204" s="126">
        <f t="shared" si="31"/>
        <v>14</v>
      </c>
      <c r="BI204" s="123" t="s">
        <v>4</v>
      </c>
    </row>
    <row r="205" spans="1:61" s="110" customFormat="1" ht="11.25" customHeight="1">
      <c r="A205" s="123" t="s">
        <v>465</v>
      </c>
      <c r="B205" s="123">
        <v>15</v>
      </c>
      <c r="C205" s="126">
        <v>198</v>
      </c>
      <c r="D205" s="124" t="str">
        <f t="shared" si="29"/>
        <v>Hora Cátedra Enseñanza Superior 15 hs</v>
      </c>
      <c r="E205" s="192">
        <f t="shared" si="30"/>
        <v>1485</v>
      </c>
      <c r="F205" s="125">
        <f>ROUND(E205*Valores!$C$2,2)</f>
        <v>122928.3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39587.81</v>
      </c>
      <c r="N205" s="125">
        <f t="shared" si="33"/>
        <v>0</v>
      </c>
      <c r="O205" s="125">
        <f>Valores!$C$7*B205</f>
        <v>42107.25</v>
      </c>
      <c r="P205" s="125">
        <f>ROUND(IF(B205&lt;15,(Valores!$E$5*B205),Valores!$D$5),2)</f>
        <v>42317.14</v>
      </c>
      <c r="Q205" s="125">
        <v>0</v>
      </c>
      <c r="R205" s="125">
        <f>IF($F$4="NO",IF(Valores!$C$50*B205&gt;Valores!$F$47,Valores!$F$47,Valores!$C$50*B205),IF(Valores!$C$50*B205&gt;Valores!$F$47,Valores!$F$47,Valores!$C$50*B205)/2)</f>
        <v>22179.75</v>
      </c>
      <c r="S205" s="125">
        <f>Valores!$C$18*B205</f>
        <v>13243.2</v>
      </c>
      <c r="T205" s="125">
        <f t="shared" si="40"/>
        <v>13243.2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IF(Valores!$C$99*B205&gt;Valores!$C$98,Valores!$C$98,Valores!$C$99*B205)</f>
        <v>40429.05</v>
      </c>
      <c r="AA205" s="125">
        <f>IF((Valores!$C$28)*B205&gt;Valores!$F$28,Valores!$F$28,(Valores!$C$28)*B205)</f>
        <v>1040.4</v>
      </c>
      <c r="AB205" s="214">
        <v>0</v>
      </c>
      <c r="AC205" s="125">
        <f t="shared" si="34"/>
        <v>0</v>
      </c>
      <c r="AD205" s="125">
        <f>IF(Valores!$C$29*B205&gt;Valores!$F$29,Valores!$F$29,Valores!$C$29*B205)</f>
        <v>866.4</v>
      </c>
      <c r="AE205" s="192">
        <v>0</v>
      </c>
      <c r="AF205" s="125">
        <f>ROUND(AE205*Valores!$C$2,2)</f>
        <v>0</v>
      </c>
      <c r="AG205" s="125">
        <f>IF($F$4="NO",IF(Valores!$D$64*'Escala Docente'!B205&gt;Valores!$F$64,Valores!$F$64,Valores!$D$64*'Escala Docente'!B205),IF(Valores!$D$64*'Escala Docente'!B205&gt;Valores!$F$64,Valores!$F$64,Valores!$D$64*'Escala Docente'!B205)/2)+0.03</f>
        <v>19786.229999999996</v>
      </c>
      <c r="AH205" s="125">
        <f>SUM(F205,H205,J205,L205,M205,N205,O205,P205,Q205,R205,T205,U205,V205,X205,Y205,Z205,AA205,AC205,AD205,AF205,AG205)*Valores!$C$104</f>
        <v>34448.55300000001</v>
      </c>
      <c r="AI205" s="125">
        <f t="shared" si="37"/>
        <v>378934.08300000004</v>
      </c>
      <c r="AJ205" s="125">
        <f>IF(Valores!$C$33*B205&gt;Valores!$F$33,Valores!$F$33,Valores!$C$33*B205)</f>
        <v>34999.99999999995</v>
      </c>
      <c r="AK205" s="125">
        <v>0</v>
      </c>
      <c r="AL205" s="125">
        <f>IF(Valores!$C$92*B205&gt;Valores!$C$91,Valores!$C$91,Valores!$C$92*B205)</f>
        <v>0</v>
      </c>
      <c r="AM205" s="125">
        <f>IF(Valores!C$40*B205&gt;Valores!F$39,Valores!F$39,Valores!C$40*B205)</f>
        <v>0</v>
      </c>
      <c r="AN205" s="125">
        <f>IF($F$3="NO",0,IF(Valores!$C$62*B205&gt;Valores!$F$62,Valores!$F$62,Valores!$C$62*B205))</f>
        <v>0</v>
      </c>
      <c r="AO205" s="125">
        <f t="shared" si="35"/>
        <v>34999.99999999995</v>
      </c>
      <c r="AP205" s="125">
        <f>AI205*Valores!$C$72</f>
        <v>-41682.749130000004</v>
      </c>
      <c r="AQ205" s="125">
        <f>IF(AI205&lt;Valores!$E$73,-0.02,IF(AI205&lt;Valores!$F$73,-0.03,-0.04))*AI205</f>
        <v>-7578.681660000001</v>
      </c>
      <c r="AR205" s="125">
        <f>AI205*Valores!$C$75</f>
        <v>-20841.374565000002</v>
      </c>
      <c r="AS205" s="125">
        <f>Valores!$C$102</f>
        <v>-1270.16</v>
      </c>
      <c r="AT205" s="125">
        <f>IF($F$5=0,Valores!$C$103,(Valores!$C$103+$F$5*(Valores!$C$103)))</f>
        <v>-11714</v>
      </c>
      <c r="AU205" s="125">
        <f t="shared" si="38"/>
        <v>330847.117645</v>
      </c>
      <c r="AV205" s="125">
        <f t="shared" si="32"/>
        <v>-41682.749130000004</v>
      </c>
      <c r="AW205" s="125">
        <f t="shared" si="39"/>
        <v>-7578.681660000001</v>
      </c>
      <c r="AX205" s="125">
        <f>AI205*Valores!$C$76</f>
        <v>-10231.220241</v>
      </c>
      <c r="AY205" s="125">
        <f>AI205*Valores!$C$77</f>
        <v>-1136.802249</v>
      </c>
      <c r="AZ205" s="125">
        <f t="shared" si="36"/>
        <v>353304.62971999997</v>
      </c>
      <c r="BA205" s="125">
        <f>AI205*Valores!$C$79</f>
        <v>60629.45328000001</v>
      </c>
      <c r="BB205" s="125">
        <f>AI205*Valores!$C$80</f>
        <v>26525.385810000007</v>
      </c>
      <c r="BC205" s="125">
        <f>AI205*Valores!$C$81</f>
        <v>3789.3408300000006</v>
      </c>
      <c r="BD205" s="125">
        <f>AI205*Valores!$C$83</f>
        <v>13262.692905000004</v>
      </c>
      <c r="BE205" s="125">
        <f>AI205*Valores!$C$85</f>
        <v>20462.440482</v>
      </c>
      <c r="BF205" s="125">
        <f>AI205*Valores!$C$84</f>
        <v>2273.604498</v>
      </c>
      <c r="BG205" s="126"/>
      <c r="BH205" s="126">
        <f t="shared" si="31"/>
        <v>15</v>
      </c>
      <c r="BI205" s="123" t="s">
        <v>4</v>
      </c>
    </row>
    <row r="206" spans="1:61" s="110" customFormat="1" ht="11.25" customHeight="1">
      <c r="A206" s="123" t="s">
        <v>465</v>
      </c>
      <c r="B206" s="123">
        <v>16</v>
      </c>
      <c r="C206" s="126">
        <v>199</v>
      </c>
      <c r="D206" s="124" t="str">
        <f t="shared" si="29"/>
        <v>Hora Cátedra Enseñanza Superior 16 hs</v>
      </c>
      <c r="E206" s="192">
        <f t="shared" si="30"/>
        <v>1584</v>
      </c>
      <c r="F206" s="125">
        <f>ROUND(E206*Valores!$C$2,2)</f>
        <v>131123.52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42227</v>
      </c>
      <c r="N206" s="125">
        <f t="shared" si="33"/>
        <v>0</v>
      </c>
      <c r="O206" s="125">
        <f>Valores!$C$7*B206</f>
        <v>44914.4</v>
      </c>
      <c r="P206" s="125">
        <f>ROUND(IF(B206&lt;15,(Valores!$E$5*B206),Valores!$D$5),2)</f>
        <v>42317.14</v>
      </c>
      <c r="Q206" s="125">
        <v>0</v>
      </c>
      <c r="R206" s="125">
        <f>IF($F$4="NO",IF(Valores!$C$50*B206&gt;Valores!$F$47,Valores!$F$47,Valores!$C$50*B206),IF(Valores!$C$50*B206&gt;Valores!$F$47,Valores!$F$47,Valores!$C$50*B206)/2)</f>
        <v>23658.4</v>
      </c>
      <c r="S206" s="125">
        <f>Valores!$C$18*B206</f>
        <v>14126.08</v>
      </c>
      <c r="T206" s="125">
        <f t="shared" si="40"/>
        <v>14126.08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IF(Valores!$C$99*B206&gt;Valores!$C$98,Valores!$C$98,Valores!$C$99*B206)</f>
        <v>43124.32</v>
      </c>
      <c r="AA206" s="125">
        <f>IF((Valores!$C$28)*B206&gt;Valores!$F$28,Valores!$F$28,(Valores!$C$28)*B206)</f>
        <v>1109.76</v>
      </c>
      <c r="AB206" s="214">
        <v>0</v>
      </c>
      <c r="AC206" s="125">
        <f t="shared" si="34"/>
        <v>0</v>
      </c>
      <c r="AD206" s="125">
        <f>IF(Valores!$C$29*B206&gt;Valores!$F$29,Valores!$F$29,Valores!$C$29*B206)</f>
        <v>924.16</v>
      </c>
      <c r="AE206" s="192">
        <v>0</v>
      </c>
      <c r="AF206" s="125">
        <f>ROUND(AE206*Valores!$C$2,2)</f>
        <v>0</v>
      </c>
      <c r="AG206" s="125">
        <f>IF($F$4="NO",IF(Valores!$D$64*'Escala Docente'!B206&gt;Valores!$F$64,Valores!$F$64,Valores!$D$64*'Escala Docente'!B206),IF(Valores!$D$64*'Escala Docente'!B206&gt;Valores!$F$64,Valores!$F$64,Valores!$D$64*'Escala Docente'!B206)/2)+0.03</f>
        <v>21105.309999999998</v>
      </c>
      <c r="AH206" s="125">
        <f>SUM(F206,H206,J206,L206,M206,N206,O206,P206,Q206,R206,T206,U206,V206,X206,Y206,Z206,AA206,AC206,AD206,AF206,AG206)*Valores!$C$104</f>
        <v>36463.009000000005</v>
      </c>
      <c r="AI206" s="125">
        <f t="shared" si="37"/>
        <v>401093.09900000005</v>
      </c>
      <c r="AJ206" s="125">
        <f>IF(Valores!$C$33*B206&gt;Valores!$F$33,Valores!$F$33,Valores!$C$33*B206)</f>
        <v>37333.33333333328</v>
      </c>
      <c r="AK206" s="125">
        <v>0</v>
      </c>
      <c r="AL206" s="125">
        <f>IF(Valores!$C$92*B206&gt;Valores!$C$91,Valores!$C$91,Valores!$C$92*B206)</f>
        <v>0</v>
      </c>
      <c r="AM206" s="125">
        <f>IF(Valores!C$40*B206&gt;Valores!F$39,Valores!F$39,Valores!C$40*B206)</f>
        <v>0</v>
      </c>
      <c r="AN206" s="125">
        <f>IF($F$3="NO",0,IF(Valores!$C$62*B206&gt;Valores!$F$62,Valores!$F$62,Valores!$C$62*B206))</f>
        <v>0</v>
      </c>
      <c r="AO206" s="125">
        <f t="shared" si="35"/>
        <v>37333.33333333328</v>
      </c>
      <c r="AP206" s="125">
        <f>AI206*Valores!$C$72</f>
        <v>-44120.24089000001</v>
      </c>
      <c r="AQ206" s="125">
        <f>IF(AI206&lt;Valores!$E$73,-0.02,IF(AI206&lt;Valores!$F$73,-0.03,-0.04))*AI206</f>
        <v>-8021.8619800000015</v>
      </c>
      <c r="AR206" s="125">
        <f>AI206*Valores!$C$75</f>
        <v>-22060.120445000004</v>
      </c>
      <c r="AS206" s="125">
        <f>Valores!$C$102</f>
        <v>-1270.16</v>
      </c>
      <c r="AT206" s="125">
        <f>IF($F$5=0,Valores!$C$103,(Valores!$C$103+$F$5*(Valores!$C$103)))</f>
        <v>-11714</v>
      </c>
      <c r="AU206" s="125">
        <f t="shared" si="38"/>
        <v>351240.0490183333</v>
      </c>
      <c r="AV206" s="125">
        <f t="shared" si="32"/>
        <v>-44120.24089000001</v>
      </c>
      <c r="AW206" s="125">
        <f t="shared" si="39"/>
        <v>-8021.8619800000015</v>
      </c>
      <c r="AX206" s="125">
        <f>AI206*Valores!$C$76</f>
        <v>-10829.513673000001</v>
      </c>
      <c r="AY206" s="125">
        <f>AI206*Valores!$C$77</f>
        <v>-1203.2792970000003</v>
      </c>
      <c r="AZ206" s="125">
        <f t="shared" si="36"/>
        <v>374251.5364933333</v>
      </c>
      <c r="BA206" s="125">
        <f>AI206*Valores!$C$79</f>
        <v>64174.89584000001</v>
      </c>
      <c r="BB206" s="125">
        <f>AI206*Valores!$C$80</f>
        <v>28076.516930000005</v>
      </c>
      <c r="BC206" s="125">
        <f>AI206*Valores!$C$81</f>
        <v>4010.9309900000007</v>
      </c>
      <c r="BD206" s="125">
        <f>AI206*Valores!$C$83</f>
        <v>14038.258465000003</v>
      </c>
      <c r="BE206" s="125">
        <f>AI206*Valores!$C$85</f>
        <v>21659.027346000003</v>
      </c>
      <c r="BF206" s="125">
        <f>AI206*Valores!$C$84</f>
        <v>2406.5585940000005</v>
      </c>
      <c r="BG206" s="126"/>
      <c r="BH206" s="126">
        <f t="shared" si="31"/>
        <v>16</v>
      </c>
      <c r="BI206" s="123" t="s">
        <v>4</v>
      </c>
    </row>
    <row r="207" spans="1:61" s="110" customFormat="1" ht="11.25" customHeight="1">
      <c r="A207" s="123" t="s">
        <v>465</v>
      </c>
      <c r="B207" s="123">
        <v>17</v>
      </c>
      <c r="C207" s="126">
        <v>200</v>
      </c>
      <c r="D207" s="124" t="str">
        <f t="shared" si="29"/>
        <v>Hora Cátedra Enseñanza Superior 17 hs</v>
      </c>
      <c r="E207" s="192">
        <f t="shared" si="30"/>
        <v>1683</v>
      </c>
      <c r="F207" s="125">
        <f>ROUND(E207*Valores!$C$2,2)</f>
        <v>139318.74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44866.19</v>
      </c>
      <c r="N207" s="125">
        <f t="shared" si="33"/>
        <v>0</v>
      </c>
      <c r="O207" s="125">
        <f>Valores!$C$7*B207</f>
        <v>47721.55</v>
      </c>
      <c r="P207" s="125">
        <f>ROUND(IF(B207&lt;15,(Valores!$E$5*B207),Valores!$D$5),2)</f>
        <v>42317.14</v>
      </c>
      <c r="Q207" s="125">
        <v>0</v>
      </c>
      <c r="R207" s="125">
        <f>IF($F$4="NO",IF(Valores!$C$50*B207&gt;Valores!$F$47,Valores!$F$47,Valores!$C$50*B207),IF(Valores!$C$50*B207&gt;Valores!$F$47,Valores!$F$47,Valores!$C$50*B207)/2)</f>
        <v>25137.050000000003</v>
      </c>
      <c r="S207" s="125">
        <f>Valores!$C$18*B207</f>
        <v>15008.96</v>
      </c>
      <c r="T207" s="125">
        <f t="shared" si="40"/>
        <v>15008.96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IF(Valores!$C$99*B207&gt;Valores!$C$98,Valores!$C$98,Valores!$C$99*B207)</f>
        <v>45819.59</v>
      </c>
      <c r="AA207" s="125">
        <f>IF((Valores!$C$28)*B207&gt;Valores!$F$28,Valores!$F$28,(Valores!$C$28)*B207)</f>
        <v>1179.12</v>
      </c>
      <c r="AB207" s="214">
        <v>0</v>
      </c>
      <c r="AC207" s="125">
        <f t="shared" si="34"/>
        <v>0</v>
      </c>
      <c r="AD207" s="125">
        <f>IF(Valores!$C$29*B207&gt;Valores!$F$29,Valores!$F$29,Valores!$C$29*B207)</f>
        <v>981.92</v>
      </c>
      <c r="AE207" s="192">
        <v>0</v>
      </c>
      <c r="AF207" s="125">
        <f>ROUND(AE207*Valores!$C$2,2)</f>
        <v>0</v>
      </c>
      <c r="AG207" s="125">
        <f>IF($F$4="NO",IF(Valores!$D$64*'Escala Docente'!B207&gt;Valores!$F$64,Valores!$F$64,Valores!$D$64*'Escala Docente'!B207),IF(Valores!$D$64*'Escala Docente'!B207&gt;Valores!$F$64,Valores!$F$64,Valores!$D$64*'Escala Docente'!B207)/2)+0.03</f>
        <v>22424.39</v>
      </c>
      <c r="AH207" s="125">
        <f>SUM(F207,H207,J207,L207,M207,N207,O207,P207,Q207,R207,T207,U207,V207,X207,Y207,Z207,AA207,AC207,AD207,AF207,AG207)*Valores!$C$104</f>
        <v>38477.465</v>
      </c>
      <c r="AI207" s="125">
        <f t="shared" si="37"/>
        <v>423252.115</v>
      </c>
      <c r="AJ207" s="125">
        <f>IF(Valores!$C$33*B207&gt;Valores!$F$33,Valores!$F$33,Valores!$C$33*B207)</f>
        <v>39666.666666666606</v>
      </c>
      <c r="AK207" s="125">
        <v>0</v>
      </c>
      <c r="AL207" s="125">
        <f>IF(Valores!$C$92*B207&gt;Valores!$C$91,Valores!$C$91,Valores!$C$92*B207)</f>
        <v>0</v>
      </c>
      <c r="AM207" s="125">
        <f>IF(Valores!C$40*B207&gt;Valores!F$39,Valores!F$39,Valores!C$40*B207)</f>
        <v>0</v>
      </c>
      <c r="AN207" s="125">
        <f>IF($F$3="NO",0,IF(Valores!$C$62*B207&gt;Valores!$F$62,Valores!$F$62,Valores!$C$62*B207))</f>
        <v>0</v>
      </c>
      <c r="AO207" s="125">
        <f t="shared" si="35"/>
        <v>39666.666666666606</v>
      </c>
      <c r="AP207" s="125">
        <f>AI207*Valores!$C$72</f>
        <v>-46557.73265</v>
      </c>
      <c r="AQ207" s="125">
        <f>IF(AI207&lt;Valores!$E$73,-0.02,IF(AI207&lt;Valores!$F$73,-0.03,-0.04))*AI207</f>
        <v>-8465.0423</v>
      </c>
      <c r="AR207" s="125">
        <f>AI207*Valores!$C$75</f>
        <v>-23278.866325</v>
      </c>
      <c r="AS207" s="125">
        <f>Valores!$C$102</f>
        <v>-1270.16</v>
      </c>
      <c r="AT207" s="125">
        <f>IF($F$5=0,Valores!$C$103,(Valores!$C$103+$F$5*(Valores!$C$103)))</f>
        <v>-11714</v>
      </c>
      <c r="AU207" s="125">
        <f t="shared" si="38"/>
        <v>371632.9803916666</v>
      </c>
      <c r="AV207" s="125">
        <f t="shared" si="32"/>
        <v>-46557.73265</v>
      </c>
      <c r="AW207" s="125">
        <f t="shared" si="39"/>
        <v>-8465.0423</v>
      </c>
      <c r="AX207" s="125">
        <f>AI207*Valores!$C$76</f>
        <v>-11427.807105</v>
      </c>
      <c r="AY207" s="125">
        <f>AI207*Valores!$C$77</f>
        <v>-1269.756345</v>
      </c>
      <c r="AZ207" s="125">
        <f t="shared" si="36"/>
        <v>395198.4432666666</v>
      </c>
      <c r="BA207" s="125">
        <f>AI207*Valores!$C$79</f>
        <v>67720.3384</v>
      </c>
      <c r="BB207" s="125">
        <f>AI207*Valores!$C$80</f>
        <v>29627.648050000003</v>
      </c>
      <c r="BC207" s="125">
        <f>AI207*Valores!$C$81</f>
        <v>4232.52115</v>
      </c>
      <c r="BD207" s="125">
        <f>AI207*Valores!$C$83</f>
        <v>14813.824025000002</v>
      </c>
      <c r="BE207" s="125">
        <f>AI207*Valores!$C$85</f>
        <v>22855.61421</v>
      </c>
      <c r="BF207" s="125">
        <f>AI207*Valores!$C$84</f>
        <v>2539.51269</v>
      </c>
      <c r="BG207" s="126"/>
      <c r="BH207" s="126">
        <f t="shared" si="31"/>
        <v>17</v>
      </c>
      <c r="BI207" s="123" t="s">
        <v>4</v>
      </c>
    </row>
    <row r="208" spans="1:61" s="110" customFormat="1" ht="11.25" customHeight="1">
      <c r="A208" s="123" t="s">
        <v>465</v>
      </c>
      <c r="B208" s="123">
        <v>18</v>
      </c>
      <c r="C208" s="126">
        <v>201</v>
      </c>
      <c r="D208" s="124" t="str">
        <f t="shared" si="29"/>
        <v>Hora Cátedra Enseñanza Superior 18 hs</v>
      </c>
      <c r="E208" s="192">
        <f t="shared" si="30"/>
        <v>1782</v>
      </c>
      <c r="F208" s="125">
        <f>ROUND(E208*Valores!$C$2,2)</f>
        <v>147513.96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47505.38</v>
      </c>
      <c r="N208" s="125">
        <f t="shared" si="33"/>
        <v>0</v>
      </c>
      <c r="O208" s="125">
        <f>Valores!$C$7*B208</f>
        <v>50528.700000000004</v>
      </c>
      <c r="P208" s="125">
        <f>ROUND(IF(B208&lt;15,(Valores!$E$5*B208),Valores!$D$5),2)</f>
        <v>42317.14</v>
      </c>
      <c r="Q208" s="125">
        <v>0</v>
      </c>
      <c r="R208" s="125">
        <f>IF($F$4="NO",IF(Valores!$C$50*B208&gt;Valores!$F$47,Valores!$F$47,Valores!$C$50*B208),IF(Valores!$C$50*B208&gt;Valores!$F$47,Valores!$F$47,Valores!$C$50*B208)/2)</f>
        <v>26615.7</v>
      </c>
      <c r="S208" s="125">
        <f>Valores!$C$18*B208</f>
        <v>15891.84</v>
      </c>
      <c r="T208" s="125">
        <f t="shared" si="40"/>
        <v>15891.84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IF(Valores!$C$99*B208&gt;Valores!$C$98,Valores!$C$98,Valores!$C$99*B208)</f>
        <v>48514.86</v>
      </c>
      <c r="AA208" s="125">
        <f>IF((Valores!$C$28)*B208&gt;Valores!$F$28,Valores!$F$28,(Valores!$C$28)*B208)</f>
        <v>1248.48</v>
      </c>
      <c r="AB208" s="214">
        <v>0</v>
      </c>
      <c r="AC208" s="125">
        <f t="shared" si="34"/>
        <v>0</v>
      </c>
      <c r="AD208" s="125">
        <f>IF(Valores!$C$29*B208&gt;Valores!$F$29,Valores!$F$29,Valores!$C$29*B208)</f>
        <v>1039.68</v>
      </c>
      <c r="AE208" s="192">
        <v>0</v>
      </c>
      <c r="AF208" s="125">
        <f>ROUND(AE208*Valores!$C$2,2)</f>
        <v>0</v>
      </c>
      <c r="AG208" s="125">
        <f>IF($F$4="NO",IF(Valores!$D$64*'Escala Docente'!B208&gt;Valores!$F$64,Valores!$F$64,Valores!$D$64*'Escala Docente'!B208),IF(Valores!$D$64*'Escala Docente'!B208&gt;Valores!$F$64,Valores!$F$64,Valores!$D$64*'Escala Docente'!B208)/2)+0.04</f>
        <v>23743.48</v>
      </c>
      <c r="AH208" s="125">
        <f>SUM(F208,H208,J208,L208,M208,N208,O208,P208,Q208,R208,T208,U208,V208,X208,Y208,Z208,AA208,AC208,AD208,AF208,AG208)*Valores!$C$104</f>
        <v>40491.922</v>
      </c>
      <c r="AI208" s="125">
        <f t="shared" si="37"/>
        <v>445411.142</v>
      </c>
      <c r="AJ208" s="125">
        <f>IF(Valores!$C$33*B208&gt;Valores!$F$33,Valores!$F$33,Valores!$C$33*B208)</f>
        <v>41999.999999999935</v>
      </c>
      <c r="AK208" s="125">
        <v>0</v>
      </c>
      <c r="AL208" s="125">
        <f>IF(Valores!$C$92*B208&gt;Valores!$C$91,Valores!$C$91,Valores!$C$92*B208)</f>
        <v>0</v>
      </c>
      <c r="AM208" s="125">
        <f>IF(Valores!C$40*B208&gt;Valores!F$39,Valores!F$39,Valores!C$40*B208)</f>
        <v>0</v>
      </c>
      <c r="AN208" s="125">
        <f>IF($F$3="NO",0,IF(Valores!$C$62*B208&gt;Valores!$F$62,Valores!$F$62,Valores!$C$62*B208))</f>
        <v>0</v>
      </c>
      <c r="AO208" s="125">
        <f t="shared" si="35"/>
        <v>41999.999999999935</v>
      </c>
      <c r="AP208" s="125">
        <f>AI208*Valores!$C$72</f>
        <v>-48995.22562</v>
      </c>
      <c r="AQ208" s="125">
        <f>IF(AI208&lt;Valores!$E$73,-0.02,IF(AI208&lt;Valores!$F$73,-0.03,-0.04))*AI208</f>
        <v>-8908.22284</v>
      </c>
      <c r="AR208" s="125">
        <f>AI208*Valores!$C$75</f>
        <v>-24497.61281</v>
      </c>
      <c r="AS208" s="125">
        <f>Valores!$C$102</f>
        <v>-1270.16</v>
      </c>
      <c r="AT208" s="125">
        <f>IF($F$5=0,Valores!$C$103,(Valores!$C$103+$F$5*(Valores!$C$103)))</f>
        <v>-11714</v>
      </c>
      <c r="AU208" s="125">
        <f t="shared" si="38"/>
        <v>392025.9207299999</v>
      </c>
      <c r="AV208" s="125">
        <f t="shared" si="32"/>
        <v>-48995.22562</v>
      </c>
      <c r="AW208" s="125">
        <f t="shared" si="39"/>
        <v>-8908.22284</v>
      </c>
      <c r="AX208" s="125">
        <f>AI208*Valores!$C$76</f>
        <v>-12026.100833999999</v>
      </c>
      <c r="AY208" s="125">
        <f>AI208*Valores!$C$77</f>
        <v>-1336.233426</v>
      </c>
      <c r="AZ208" s="125">
        <f t="shared" si="36"/>
        <v>416145.3592799999</v>
      </c>
      <c r="BA208" s="125">
        <f>AI208*Valores!$C$79</f>
        <v>71265.78272</v>
      </c>
      <c r="BB208" s="125">
        <f>AI208*Valores!$C$80</f>
        <v>31178.779940000004</v>
      </c>
      <c r="BC208" s="125">
        <f>AI208*Valores!$C$81</f>
        <v>4454.11142</v>
      </c>
      <c r="BD208" s="125">
        <f>AI208*Valores!$C$83</f>
        <v>15589.389970000002</v>
      </c>
      <c r="BE208" s="125">
        <f>AI208*Valores!$C$85</f>
        <v>24052.201667999998</v>
      </c>
      <c r="BF208" s="125">
        <f>AI208*Valores!$C$84</f>
        <v>2672.466852</v>
      </c>
      <c r="BG208" s="126"/>
      <c r="BH208" s="126">
        <f t="shared" si="31"/>
        <v>18</v>
      </c>
      <c r="BI208" s="123" t="s">
        <v>4</v>
      </c>
    </row>
    <row r="209" spans="1:61" s="110" customFormat="1" ht="11.25" customHeight="1">
      <c r="A209" s="123" t="s">
        <v>465</v>
      </c>
      <c r="B209" s="123">
        <v>19</v>
      </c>
      <c r="C209" s="126">
        <v>202</v>
      </c>
      <c r="D209" s="124" t="str">
        <f t="shared" si="29"/>
        <v>Hora Cátedra Enseñanza Superior 19 hs</v>
      </c>
      <c r="E209" s="192">
        <f t="shared" si="30"/>
        <v>1881</v>
      </c>
      <c r="F209" s="125">
        <f>ROUND(E209*Valores!$C$2,2)</f>
        <v>155709.18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50144.56</v>
      </c>
      <c r="N209" s="125">
        <f t="shared" si="33"/>
        <v>0</v>
      </c>
      <c r="O209" s="125">
        <f>Valores!$C$7*B209</f>
        <v>53335.85</v>
      </c>
      <c r="P209" s="125">
        <f>ROUND(IF(B209&lt;15,(Valores!$E$5*B209),Valores!$D$5),2)</f>
        <v>42317.14</v>
      </c>
      <c r="Q209" s="125">
        <v>0</v>
      </c>
      <c r="R209" s="125">
        <f>IF($F$4="NO",IF(Valores!$C$50*B209&gt;Valores!$F$47,Valores!$F$47,Valores!$C$50*B209),IF(Valores!$C$50*B209&gt;Valores!$F$47,Valores!$F$47,Valores!$C$50*B209)/2)</f>
        <v>28094.350000000002</v>
      </c>
      <c r="S209" s="125">
        <f>Valores!$C$18*B209</f>
        <v>16774.72</v>
      </c>
      <c r="T209" s="125">
        <f t="shared" si="40"/>
        <v>16774.72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IF(Valores!$C$99*B209&gt;Valores!$C$98,Valores!$C$98,Valores!$C$99*B209)</f>
        <v>51210.13</v>
      </c>
      <c r="AA209" s="125">
        <f>IF((Valores!$C$28)*B209&gt;Valores!$F$28,Valores!$F$28,(Valores!$C$28)*B209)</f>
        <v>1317.84</v>
      </c>
      <c r="AB209" s="214">
        <v>0</v>
      </c>
      <c r="AC209" s="125">
        <f t="shared" si="34"/>
        <v>0</v>
      </c>
      <c r="AD209" s="125">
        <f>IF(Valores!$C$29*B209&gt;Valores!$F$29,Valores!$F$29,Valores!$C$29*B209)</f>
        <v>1097.44</v>
      </c>
      <c r="AE209" s="192">
        <v>0</v>
      </c>
      <c r="AF209" s="125">
        <f>ROUND(AE209*Valores!$C$2,2)</f>
        <v>0</v>
      </c>
      <c r="AG209" s="125">
        <f>IF($F$4="NO",IF(Valores!$D$64*'Escala Docente'!B209&gt;Valores!$F$64,Valores!$F$64,Valores!$D$64*'Escala Docente'!B209),IF(Valores!$D$64*'Escala Docente'!B209&gt;Valores!$F$64,Valores!$F$64,Valores!$D$64*'Escala Docente'!B209)/2)+0.04</f>
        <v>25062.559999999998</v>
      </c>
      <c r="AH209" s="125">
        <f>SUM(F209,H209,J209,L209,M209,N209,O209,P209,Q209,R209,T209,U209,V209,X209,Y209,Z209,AA209,AC209,AD209,AF209,AG209)*Valores!$C$104</f>
        <v>42506.377</v>
      </c>
      <c r="AI209" s="125">
        <f t="shared" si="37"/>
        <v>467570.14699999994</v>
      </c>
      <c r="AJ209" s="125">
        <f>IF(Valores!$C$33*B209&gt;Valores!$F$33,Valores!$F$33,Valores!$C$33*B209)</f>
        <v>44333.33333333327</v>
      </c>
      <c r="AK209" s="125">
        <v>0</v>
      </c>
      <c r="AL209" s="125">
        <f>IF(Valores!$C$92*B209&gt;Valores!$C$91,Valores!$C$91,Valores!$C$92*B209)</f>
        <v>0</v>
      </c>
      <c r="AM209" s="125">
        <f>IF(Valores!C$40*B209&gt;Valores!F$39,Valores!F$39,Valores!C$40*B209)</f>
        <v>0</v>
      </c>
      <c r="AN209" s="125">
        <f>IF($F$3="NO",0,IF(Valores!$C$62*B209&gt;Valores!$F$62,Valores!$F$62,Valores!$C$62*B209))</f>
        <v>0</v>
      </c>
      <c r="AO209" s="125">
        <f t="shared" si="35"/>
        <v>44333.33333333327</v>
      </c>
      <c r="AP209" s="125">
        <f>AI209*Valores!$C$72</f>
        <v>-51432.71616999999</v>
      </c>
      <c r="AQ209" s="125">
        <f>IF(AI209&lt;Valores!$E$73,-0.02,IF(AI209&lt;Valores!$F$73,-0.03,-0.04))*AI209</f>
        <v>-9351.402939999998</v>
      </c>
      <c r="AR209" s="125">
        <f>AI209*Valores!$C$75</f>
        <v>-25716.358084999996</v>
      </c>
      <c r="AS209" s="125">
        <f>Valores!$C$102</f>
        <v>-1270.16</v>
      </c>
      <c r="AT209" s="125">
        <f>IF($F$5=0,Valores!$C$103,(Valores!$C$103+$F$5*(Valores!$C$103)))</f>
        <v>-11714</v>
      </c>
      <c r="AU209" s="125">
        <f t="shared" si="38"/>
        <v>412418.84313833324</v>
      </c>
      <c r="AV209" s="125">
        <f t="shared" si="32"/>
        <v>-51432.71616999999</v>
      </c>
      <c r="AW209" s="125">
        <f t="shared" si="39"/>
        <v>-9351.402939999998</v>
      </c>
      <c r="AX209" s="125">
        <f>AI209*Valores!$C$76</f>
        <v>-12624.393968999999</v>
      </c>
      <c r="AY209" s="125">
        <f>AI209*Valores!$C$77</f>
        <v>-1402.710441</v>
      </c>
      <c r="AZ209" s="125">
        <f t="shared" si="36"/>
        <v>437092.2568133332</v>
      </c>
      <c r="BA209" s="125">
        <f>AI209*Valores!$C$79</f>
        <v>74811.22351999999</v>
      </c>
      <c r="BB209" s="125">
        <f>AI209*Valores!$C$80</f>
        <v>32729.91029</v>
      </c>
      <c r="BC209" s="125">
        <f>AI209*Valores!$C$81</f>
        <v>4675.701469999999</v>
      </c>
      <c r="BD209" s="125">
        <f>AI209*Valores!$C$83</f>
        <v>16364.955145</v>
      </c>
      <c r="BE209" s="125">
        <f>AI209*Valores!$C$85</f>
        <v>25248.787937999998</v>
      </c>
      <c r="BF209" s="125">
        <f>AI209*Valores!$C$84</f>
        <v>2805.420882</v>
      </c>
      <c r="BG209" s="126"/>
      <c r="BH209" s="126">
        <f t="shared" si="31"/>
        <v>19</v>
      </c>
      <c r="BI209" s="123" t="s">
        <v>4</v>
      </c>
    </row>
    <row r="210" spans="1:61" s="110" customFormat="1" ht="11.25" customHeight="1">
      <c r="A210" s="123" t="s">
        <v>465</v>
      </c>
      <c r="B210" s="123">
        <v>20</v>
      </c>
      <c r="C210" s="126">
        <v>203</v>
      </c>
      <c r="D210" s="124" t="str">
        <f t="shared" si="29"/>
        <v>Hora Cátedra Enseñanza Superior 20 hs</v>
      </c>
      <c r="E210" s="192">
        <f t="shared" si="30"/>
        <v>1980</v>
      </c>
      <c r="F210" s="125">
        <f>ROUND(E210*Valores!$C$2,2)</f>
        <v>163904.4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52783.75</v>
      </c>
      <c r="N210" s="125">
        <f t="shared" si="33"/>
        <v>0</v>
      </c>
      <c r="O210" s="125">
        <f>Valores!$C$7*B210</f>
        <v>56143</v>
      </c>
      <c r="P210" s="125">
        <f>ROUND(IF(B210&lt;15,(Valores!$E$5*B210),Valores!$D$5),2)</f>
        <v>42317.14</v>
      </c>
      <c r="Q210" s="125">
        <v>0</v>
      </c>
      <c r="R210" s="125">
        <f>IF($F$4="NO",IF(Valores!$C$50*B210&gt;Valores!$F$47,Valores!$F$47,Valores!$C$50*B210),IF(Valores!$C$50*B210&gt;Valores!$F$47,Valores!$F$47,Valores!$C$50*B210)/2)</f>
        <v>29573</v>
      </c>
      <c r="S210" s="125">
        <f>Valores!$C$18*B210</f>
        <v>17657.6</v>
      </c>
      <c r="T210" s="125">
        <f t="shared" si="40"/>
        <v>17657.6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IF(Valores!$C$99*B210&gt;Valores!$C$98,Valores!$C$98,Valores!$C$99*B210)</f>
        <v>53905.4</v>
      </c>
      <c r="AA210" s="125">
        <f>IF((Valores!$C$28)*B210&gt;Valores!$F$28,Valores!$F$28,(Valores!$C$28)*B210)</f>
        <v>1387.2</v>
      </c>
      <c r="AB210" s="214">
        <v>0</v>
      </c>
      <c r="AC210" s="125">
        <f t="shared" si="34"/>
        <v>0</v>
      </c>
      <c r="AD210" s="125">
        <f>IF(Valores!$C$29*B210&gt;Valores!$F$29,Valores!$F$29,Valores!$C$29*B210)</f>
        <v>1155.2</v>
      </c>
      <c r="AE210" s="192">
        <v>0</v>
      </c>
      <c r="AF210" s="125">
        <f>ROUND(AE210*Valores!$C$2,2)</f>
        <v>0</v>
      </c>
      <c r="AG210" s="125">
        <f>IF($F$4="NO",IF(Valores!$D$64*'Escala Docente'!B210&gt;Valores!$F$64,Valores!$F$64,Valores!$D$64*'Escala Docente'!B210),IF(Valores!$D$64*'Escala Docente'!B210&gt;Valores!$F$64,Valores!$F$64,Valores!$D$64*'Escala Docente'!B210)/2)+0.04</f>
        <v>26381.64</v>
      </c>
      <c r="AH210" s="125">
        <f>SUM(F210,H210,J210,L210,M210,N210,O210,P210,Q210,R210,T210,U210,V210,X210,Y210,Z210,AA210,AC210,AD210,AF210,AG210)*Valores!$C$104</f>
        <v>44520.83300000001</v>
      </c>
      <c r="AI210" s="125">
        <f t="shared" si="37"/>
        <v>489729.16300000006</v>
      </c>
      <c r="AJ210" s="125">
        <f>IF(Valores!$C$33*B210&gt;Valores!$F$33,Valores!$F$33,Valores!$C$33*B210)</f>
        <v>46666.6666666666</v>
      </c>
      <c r="AK210" s="125">
        <v>0</v>
      </c>
      <c r="AL210" s="125">
        <f>IF(Valores!$C$92*B210&gt;Valores!$C$91,Valores!$C$91,Valores!$C$92*B210)</f>
        <v>0</v>
      </c>
      <c r="AM210" s="125">
        <f>IF(Valores!C$40*B210&gt;Valores!F$39,Valores!F$39,Valores!C$40*B210)</f>
        <v>0</v>
      </c>
      <c r="AN210" s="125">
        <f>IF($F$3="NO",0,IF(Valores!$C$62*B210&gt;Valores!$F$62,Valores!$F$62,Valores!$C$62*B210))</f>
        <v>0</v>
      </c>
      <c r="AO210" s="125">
        <f t="shared" si="35"/>
        <v>46666.6666666666</v>
      </c>
      <c r="AP210" s="125">
        <f>AI210*Valores!$C$72</f>
        <v>-53870.207930000004</v>
      </c>
      <c r="AQ210" s="125">
        <f>IF(AI210&lt;Valores!$E$73,-0.02,IF(AI210&lt;Valores!$F$73,-0.03,-0.04))*AI210</f>
        <v>-9794.583260000001</v>
      </c>
      <c r="AR210" s="125">
        <f>AI210*Valores!$C$75</f>
        <v>-26935.103965000002</v>
      </c>
      <c r="AS210" s="125">
        <f>Valores!$C$102</f>
        <v>-1270.16</v>
      </c>
      <c r="AT210" s="125">
        <f>IF($F$5=0,Valores!$C$103,(Valores!$C$103+$F$5*(Valores!$C$103)))</f>
        <v>-11714</v>
      </c>
      <c r="AU210" s="125">
        <f t="shared" si="38"/>
        <v>432811.7745116666</v>
      </c>
      <c r="AV210" s="125">
        <f t="shared" si="32"/>
        <v>-53870.207930000004</v>
      </c>
      <c r="AW210" s="125">
        <f t="shared" si="39"/>
        <v>-9794.583260000001</v>
      </c>
      <c r="AX210" s="125">
        <f>AI210*Valores!$C$76</f>
        <v>-13222.687401000001</v>
      </c>
      <c r="AY210" s="125">
        <f>AI210*Valores!$C$77</f>
        <v>-1469.1874890000001</v>
      </c>
      <c r="AZ210" s="125">
        <f t="shared" si="36"/>
        <v>458039.1635866667</v>
      </c>
      <c r="BA210" s="125">
        <f>AI210*Valores!$C$79</f>
        <v>78356.66608000001</v>
      </c>
      <c r="BB210" s="125">
        <f>AI210*Valores!$C$80</f>
        <v>34281.041410000005</v>
      </c>
      <c r="BC210" s="125">
        <f>AI210*Valores!$C$81</f>
        <v>4897.291630000001</v>
      </c>
      <c r="BD210" s="125">
        <f>AI210*Valores!$C$83</f>
        <v>17140.520705000003</v>
      </c>
      <c r="BE210" s="125">
        <f>AI210*Valores!$C$85</f>
        <v>26445.374802000002</v>
      </c>
      <c r="BF210" s="125">
        <f>AI210*Valores!$C$84</f>
        <v>2938.3749780000003</v>
      </c>
      <c r="BG210" s="126"/>
      <c r="BH210" s="126">
        <f t="shared" si="31"/>
        <v>20</v>
      </c>
      <c r="BI210" s="123" t="s">
        <v>4</v>
      </c>
    </row>
    <row r="211" spans="1:61" s="110" customFormat="1" ht="11.25" customHeight="1">
      <c r="A211" s="123" t="s">
        <v>465</v>
      </c>
      <c r="B211" s="123">
        <v>21</v>
      </c>
      <c r="C211" s="126">
        <v>204</v>
      </c>
      <c r="D211" s="124" t="str">
        <f t="shared" si="29"/>
        <v>Hora Cátedra Enseñanza Superior 21 hs</v>
      </c>
      <c r="E211" s="192">
        <f t="shared" si="30"/>
        <v>2079</v>
      </c>
      <c r="F211" s="125">
        <f>ROUND(E211*Valores!$C$2,2)</f>
        <v>172099.62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55422.94</v>
      </c>
      <c r="N211" s="125">
        <f t="shared" si="33"/>
        <v>0</v>
      </c>
      <c r="O211" s="125">
        <f>Valores!$C$7*B211</f>
        <v>58950.15</v>
      </c>
      <c r="P211" s="125">
        <f>ROUND(IF(B211&lt;15,(Valores!$E$5*B211),Valores!$D$5),2)</f>
        <v>42317.14</v>
      </c>
      <c r="Q211" s="125">
        <v>0</v>
      </c>
      <c r="R211" s="125">
        <f>IF($F$4="NO",IF(Valores!$C$50*B211&gt;Valores!$F$47,Valores!$F$47,Valores!$C$50*B211),IF(Valores!$C$50*B211&gt;Valores!$F$47,Valores!$F$47,Valores!$C$50*B211)/2)</f>
        <v>31051.65</v>
      </c>
      <c r="S211" s="125">
        <f>Valores!$C$18*B211</f>
        <v>18540.48</v>
      </c>
      <c r="T211" s="125">
        <f t="shared" si="40"/>
        <v>18540.48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IF(Valores!$C$99*B211&gt;Valores!$C$98,Valores!$C$98,Valores!$C$99*B211)</f>
        <v>56600.67</v>
      </c>
      <c r="AA211" s="125">
        <f>IF((Valores!$C$28)*B211&gt;Valores!$F$28,Valores!$F$28,(Valores!$C$28)*B211)</f>
        <v>1456.56</v>
      </c>
      <c r="AB211" s="214">
        <v>0</v>
      </c>
      <c r="AC211" s="125">
        <f t="shared" si="34"/>
        <v>0</v>
      </c>
      <c r="AD211" s="125">
        <f>IF(Valores!$C$29*B211&gt;Valores!$F$29,Valores!$F$29,Valores!$C$29*B211)</f>
        <v>1212.96</v>
      </c>
      <c r="AE211" s="192">
        <v>0</v>
      </c>
      <c r="AF211" s="125">
        <f>ROUND(AE211*Valores!$C$2,2)</f>
        <v>0</v>
      </c>
      <c r="AG211" s="125">
        <f>IF($F$4="NO",IF(Valores!$D$64*'Escala Docente'!B211&gt;Valores!$F$64,Valores!$F$64,Valores!$D$64*'Escala Docente'!B211),IF(Valores!$D$64*'Escala Docente'!B211&gt;Valores!$F$64,Valores!$F$64,Valores!$D$64*'Escala Docente'!B211)/2)+0.05</f>
        <v>27700.73</v>
      </c>
      <c r="AH211" s="125">
        <f>SUM(F211,H211,J211,L211,M211,N211,O211,P211,Q211,R211,T211,U211,V211,X211,Y211,Z211,AA211,AC211,AD211,AF211,AG211)*Valores!$C$104</f>
        <v>46535.29000000001</v>
      </c>
      <c r="AI211" s="125">
        <f t="shared" si="37"/>
        <v>511888.19000000006</v>
      </c>
      <c r="AJ211" s="125">
        <f>IF(Valores!$C$33*B211&gt;Valores!$F$33,Valores!$F$33,Valores!$C$33*B211)</f>
        <v>48999.99999999993</v>
      </c>
      <c r="AK211" s="125">
        <v>0</v>
      </c>
      <c r="AL211" s="125">
        <f>IF(Valores!$C$92*B211&gt;Valores!$C$91,Valores!$C$91,Valores!$C$92*B211)</f>
        <v>0</v>
      </c>
      <c r="AM211" s="125">
        <f>IF(Valores!C$40*B211&gt;Valores!F$39,Valores!F$39,Valores!C$40*B211)</f>
        <v>0</v>
      </c>
      <c r="AN211" s="125">
        <f>IF($F$3="NO",0,IF(Valores!$C$62*B211&gt;Valores!$F$62,Valores!$F$62,Valores!$C$62*B211))</f>
        <v>0</v>
      </c>
      <c r="AO211" s="125">
        <f t="shared" si="35"/>
        <v>48999.99999999993</v>
      </c>
      <c r="AP211" s="125">
        <f>AI211*Valores!$C$72</f>
        <v>-56307.7009</v>
      </c>
      <c r="AQ211" s="125">
        <f>IF(AI211&lt;Valores!$E$73,-0.02,IF(AI211&lt;Valores!$F$73,-0.03,-0.04))*AI211</f>
        <v>-10237.7638</v>
      </c>
      <c r="AR211" s="125">
        <f>AI211*Valores!$C$75</f>
        <v>-28153.85045</v>
      </c>
      <c r="AS211" s="125">
        <f>Valores!$C$102</f>
        <v>-1270.16</v>
      </c>
      <c r="AT211" s="125">
        <f>IF($F$5=0,Valores!$C$103,(Valores!$C$103+$F$5*(Valores!$C$103)))</f>
        <v>-11714</v>
      </c>
      <c r="AU211" s="125">
        <f t="shared" si="38"/>
        <v>453204.71485</v>
      </c>
      <c r="AV211" s="125">
        <f t="shared" si="32"/>
        <v>-56307.7009</v>
      </c>
      <c r="AW211" s="125">
        <f t="shared" si="39"/>
        <v>-10237.7638</v>
      </c>
      <c r="AX211" s="125">
        <f>AI211*Valores!$C$76</f>
        <v>-13820.981130000002</v>
      </c>
      <c r="AY211" s="125">
        <f>AI211*Valores!$C$77</f>
        <v>-1535.6645700000001</v>
      </c>
      <c r="AZ211" s="125">
        <f t="shared" si="36"/>
        <v>478986.07959999994</v>
      </c>
      <c r="BA211" s="125">
        <f>AI211*Valores!$C$79</f>
        <v>81902.1104</v>
      </c>
      <c r="BB211" s="125">
        <f>AI211*Valores!$C$80</f>
        <v>35832.17330000001</v>
      </c>
      <c r="BC211" s="125">
        <f>AI211*Valores!$C$81</f>
        <v>5118.8819</v>
      </c>
      <c r="BD211" s="125">
        <f>AI211*Valores!$C$83</f>
        <v>17916.086650000005</v>
      </c>
      <c r="BE211" s="125">
        <f>AI211*Valores!$C$85</f>
        <v>27641.962260000004</v>
      </c>
      <c r="BF211" s="125">
        <f>AI211*Valores!$C$84</f>
        <v>3071.3291400000003</v>
      </c>
      <c r="BG211" s="126"/>
      <c r="BH211" s="126">
        <f t="shared" si="31"/>
        <v>21</v>
      </c>
      <c r="BI211" s="123" t="s">
        <v>8</v>
      </c>
    </row>
    <row r="212" spans="1:61" s="110" customFormat="1" ht="11.25" customHeight="1">
      <c r="A212" s="123" t="s">
        <v>465</v>
      </c>
      <c r="B212" s="123">
        <v>22</v>
      </c>
      <c r="C212" s="126">
        <v>205</v>
      </c>
      <c r="D212" s="124" t="str">
        <f t="shared" si="29"/>
        <v>Hora Cátedra Enseñanza Superior 22 hs</v>
      </c>
      <c r="E212" s="192">
        <f t="shared" si="30"/>
        <v>2178</v>
      </c>
      <c r="F212" s="125">
        <f>ROUND(E212*Valores!$C$2,2)</f>
        <v>180294.84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58062.13</v>
      </c>
      <c r="N212" s="125">
        <f t="shared" si="33"/>
        <v>0</v>
      </c>
      <c r="O212" s="125">
        <f>Valores!$C$7*B212</f>
        <v>61757.3</v>
      </c>
      <c r="P212" s="125">
        <f>ROUND(IF(B212&lt;15,(Valores!$E$5*B212),Valores!$D$5),2)</f>
        <v>42317.14</v>
      </c>
      <c r="Q212" s="125">
        <v>0</v>
      </c>
      <c r="R212" s="125">
        <f>IF($F$4="NO",IF(Valores!$C$50*B212&gt;Valores!$F$47,Valores!$F$47,Valores!$C$50*B212),IF(Valores!$C$50*B212&gt;Valores!$F$47,Valores!$F$47,Valores!$C$50*B212)/2)</f>
        <v>32530.300000000003</v>
      </c>
      <c r="S212" s="125">
        <f>Valores!$C$18*B212</f>
        <v>19423.36</v>
      </c>
      <c r="T212" s="125">
        <f t="shared" si="40"/>
        <v>19423.36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IF(Valores!$C$99*B212&gt;Valores!$C$98,Valores!$C$98,Valores!$C$99*B212)</f>
        <v>59295.94</v>
      </c>
      <c r="AA212" s="125">
        <f>IF((Valores!$C$28)*B212&gt;Valores!$F$28,Valores!$F$28,(Valores!$C$28)*B212)</f>
        <v>1525.92</v>
      </c>
      <c r="AB212" s="214">
        <v>0</v>
      </c>
      <c r="AC212" s="125">
        <f t="shared" si="34"/>
        <v>0</v>
      </c>
      <c r="AD212" s="125">
        <f>IF(Valores!$C$29*B212&gt;Valores!$F$29,Valores!$F$29,Valores!$C$29*B212)</f>
        <v>1270.72</v>
      </c>
      <c r="AE212" s="192">
        <v>0</v>
      </c>
      <c r="AF212" s="125">
        <f>ROUND(AE212*Valores!$C$2,2)</f>
        <v>0</v>
      </c>
      <c r="AG212" s="125">
        <f>IF($F$4="NO",IF(Valores!$D$64*'Escala Docente'!B212&gt;Valores!$F$64,Valores!$F$64,Valores!$D$64*'Escala Docente'!B212),IF(Valores!$D$64*'Escala Docente'!B212&gt;Valores!$F$64,Valores!$F$64,Valores!$D$64*'Escala Docente'!B212)/2)+0.05</f>
        <v>29019.809999999998</v>
      </c>
      <c r="AH212" s="125">
        <f>SUM(F212,H212,J212,L212,M212,N212,O212,P212,Q212,R212,T212,U212,V212,X212,Y212,Z212,AA212,AC212,AD212,AF212,AG212)*Valores!$C$104</f>
        <v>48549.746</v>
      </c>
      <c r="AI212" s="125">
        <f t="shared" si="37"/>
        <v>534047.206</v>
      </c>
      <c r="AJ212" s="125">
        <f>IF(Valores!$C$33*B212&gt;Valores!$F$33,Valores!$F$33,Valores!$C$33*B212)</f>
        <v>51333.333333333256</v>
      </c>
      <c r="AK212" s="125">
        <v>0</v>
      </c>
      <c r="AL212" s="125">
        <f>IF(Valores!$C$92*B212&gt;Valores!$C$91,Valores!$C$91,Valores!$C$92*B212)</f>
        <v>0</v>
      </c>
      <c r="AM212" s="125">
        <f>IF(Valores!C$40*B212&gt;Valores!F$39,Valores!F$39,Valores!C$40*B212)</f>
        <v>0</v>
      </c>
      <c r="AN212" s="125">
        <f>IF($F$3="NO",0,IF(Valores!$C$62*B212&gt;Valores!$F$62,Valores!$F$62,Valores!$C$62*B212))</f>
        <v>0</v>
      </c>
      <c r="AO212" s="125">
        <f t="shared" si="35"/>
        <v>51333.333333333256</v>
      </c>
      <c r="AP212" s="125">
        <f>AI212*Valores!$C$72</f>
        <v>-58745.19266</v>
      </c>
      <c r="AQ212" s="125">
        <f>IF(AI212&lt;Valores!$E$73,-0.02,IF(AI212&lt;Valores!$F$73,-0.03,-0.04))*AI212</f>
        <v>-10680.94412</v>
      </c>
      <c r="AR212" s="125">
        <f>AI212*Valores!$C$75</f>
        <v>-29372.59633</v>
      </c>
      <c r="AS212" s="125">
        <f>Valores!$C$102</f>
        <v>-1270.16</v>
      </c>
      <c r="AT212" s="125">
        <f>IF($F$5=0,Valores!$C$103,(Valores!$C$103+$F$5*(Valores!$C$103)))</f>
        <v>-11714</v>
      </c>
      <c r="AU212" s="125">
        <f t="shared" si="38"/>
        <v>473597.64622333326</v>
      </c>
      <c r="AV212" s="125">
        <f t="shared" si="32"/>
        <v>-58745.19266</v>
      </c>
      <c r="AW212" s="125">
        <f t="shared" si="39"/>
        <v>-10680.94412</v>
      </c>
      <c r="AX212" s="125">
        <f>AI212*Valores!$C$76</f>
        <v>-14419.274562</v>
      </c>
      <c r="AY212" s="125">
        <f>AI212*Valores!$C$77</f>
        <v>-1602.141618</v>
      </c>
      <c r="AZ212" s="125">
        <f t="shared" si="36"/>
        <v>499932.98637333326</v>
      </c>
      <c r="BA212" s="125">
        <f>AI212*Valores!$C$79</f>
        <v>85447.55296</v>
      </c>
      <c r="BB212" s="125">
        <f>AI212*Valores!$C$80</f>
        <v>37383.30442</v>
      </c>
      <c r="BC212" s="125">
        <f>AI212*Valores!$C$81</f>
        <v>5340.47206</v>
      </c>
      <c r="BD212" s="125">
        <f>AI212*Valores!$C$83</f>
        <v>18691.65221</v>
      </c>
      <c r="BE212" s="125">
        <f>AI212*Valores!$C$85</f>
        <v>28838.549124</v>
      </c>
      <c r="BF212" s="125">
        <f>AI212*Valores!$C$84</f>
        <v>3204.283236</v>
      </c>
      <c r="BG212" s="126"/>
      <c r="BH212" s="126">
        <f t="shared" si="31"/>
        <v>22</v>
      </c>
      <c r="BI212" s="123" t="s">
        <v>4</v>
      </c>
    </row>
    <row r="213" spans="1:61" s="110" customFormat="1" ht="11.25" customHeight="1">
      <c r="A213" s="123" t="s">
        <v>465</v>
      </c>
      <c r="B213" s="123">
        <v>23</v>
      </c>
      <c r="C213" s="126">
        <v>206</v>
      </c>
      <c r="D213" s="124" t="str">
        <f t="shared" si="29"/>
        <v>Hora Cátedra Enseñanza Superior 23 hs</v>
      </c>
      <c r="E213" s="192">
        <f t="shared" si="30"/>
        <v>2277</v>
      </c>
      <c r="F213" s="125">
        <f>ROUND(E213*Valores!$C$2,2)</f>
        <v>188490.06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60701.31</v>
      </c>
      <c r="N213" s="125">
        <f t="shared" si="33"/>
        <v>0</v>
      </c>
      <c r="O213" s="125">
        <f>Valores!$C$7*B213</f>
        <v>64564.450000000004</v>
      </c>
      <c r="P213" s="125">
        <f>ROUND(IF(B213&lt;15,(Valores!$E$5*B213),Valores!$D$5),2)</f>
        <v>42317.14</v>
      </c>
      <c r="Q213" s="125">
        <v>0</v>
      </c>
      <c r="R213" s="125">
        <f>IF($F$4="NO",IF(Valores!$C$50*B213&gt;Valores!$F$47,Valores!$F$47,Valores!$C$50*B213),IF(Valores!$C$50*B213&gt;Valores!$F$47,Valores!$F$47,Valores!$C$50*B213)/2)</f>
        <v>34008.950000000004</v>
      </c>
      <c r="S213" s="125">
        <f>Valores!$C$18*B213</f>
        <v>20306.24</v>
      </c>
      <c r="T213" s="125">
        <f t="shared" si="40"/>
        <v>20306.24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IF(Valores!$C$99*B213&gt;Valores!$C$98,Valores!$C$98,Valores!$C$99*B213)</f>
        <v>61991.21</v>
      </c>
      <c r="AA213" s="125">
        <f>IF((Valores!$C$28)*B213&gt;Valores!$F$28,Valores!$F$28,(Valores!$C$28)*B213)</f>
        <v>1595.28</v>
      </c>
      <c r="AB213" s="214">
        <v>0</v>
      </c>
      <c r="AC213" s="125">
        <f t="shared" si="34"/>
        <v>0</v>
      </c>
      <c r="AD213" s="125">
        <f>IF(Valores!$C$29*B213&gt;Valores!$F$29,Valores!$F$29,Valores!$C$29*B213)</f>
        <v>1328.48</v>
      </c>
      <c r="AE213" s="192">
        <v>0</v>
      </c>
      <c r="AF213" s="125">
        <f>ROUND(AE213*Valores!$C$2,2)</f>
        <v>0</v>
      </c>
      <c r="AG213" s="125">
        <f>IF($F$4="NO",IF(Valores!$D$64*'Escala Docente'!B213&gt;Valores!$F$64,Valores!$F$64,Valores!$D$64*'Escala Docente'!B213),IF(Valores!$D$64*'Escala Docente'!B213&gt;Valores!$F$64,Valores!$F$64,Valores!$D$64*'Escala Docente'!B213)/2)+0.05</f>
        <v>30338.889999999996</v>
      </c>
      <c r="AH213" s="125">
        <f>SUM(F213,H213,J213,L213,M213,N213,O213,P213,Q213,R213,T213,U213,V213,X213,Y213,Z213,AA213,AC213,AD213,AF213,AG213)*Valores!$C$104</f>
        <v>50564.20100000001</v>
      </c>
      <c r="AI213" s="125">
        <f t="shared" si="37"/>
        <v>556206.2110000001</v>
      </c>
      <c r="AJ213" s="125">
        <f>IF(Valores!$C$33*B213&gt;Valores!$F$33,Valores!$F$33,Valores!$C$33*B213)</f>
        <v>53666.666666666584</v>
      </c>
      <c r="AK213" s="125">
        <v>0</v>
      </c>
      <c r="AL213" s="125">
        <f>IF(Valores!$C$92*B213&gt;Valores!$C$91,Valores!$C$91,Valores!$C$92*B213)</f>
        <v>0</v>
      </c>
      <c r="AM213" s="125">
        <f>IF(Valores!C$40*B213&gt;Valores!F$39,Valores!F$39,Valores!C$40*B213)</f>
        <v>0</v>
      </c>
      <c r="AN213" s="125">
        <f>IF($F$3="NO",0,IF(Valores!$C$62*B213&gt;Valores!$F$62,Valores!$F$62,Valores!$C$62*B213))</f>
        <v>0</v>
      </c>
      <c r="AO213" s="125">
        <f t="shared" si="35"/>
        <v>53666.666666666584</v>
      </c>
      <c r="AP213" s="125">
        <f>AI213*Valores!$C$72</f>
        <v>-61182.68321000002</v>
      </c>
      <c r="AQ213" s="125">
        <f>IF(AI213&lt;Valores!$E$73,-0.02,IF(AI213&lt;Valores!$F$73,-0.03,-0.04))*AI213</f>
        <v>-11124.124220000003</v>
      </c>
      <c r="AR213" s="125">
        <f>AI213*Valores!$C$75</f>
        <v>-30591.34160500001</v>
      </c>
      <c r="AS213" s="125">
        <f>Valores!$C$102</f>
        <v>-1270.16</v>
      </c>
      <c r="AT213" s="125">
        <f>IF($F$5=0,Valores!$C$103,(Valores!$C$103+$F$5*(Valores!$C$103)))</f>
        <v>-11714</v>
      </c>
      <c r="AU213" s="125">
        <f t="shared" si="38"/>
        <v>493990.56863166665</v>
      </c>
      <c r="AV213" s="125">
        <f t="shared" si="32"/>
        <v>-61182.68321000002</v>
      </c>
      <c r="AW213" s="125">
        <f t="shared" si="39"/>
        <v>-11124.124220000003</v>
      </c>
      <c r="AX213" s="125">
        <f>AI213*Valores!$C$76</f>
        <v>-15017.567697000004</v>
      </c>
      <c r="AY213" s="125">
        <f>AI213*Valores!$C$77</f>
        <v>-1668.6186330000005</v>
      </c>
      <c r="AZ213" s="125">
        <f t="shared" si="36"/>
        <v>520879.8839066667</v>
      </c>
      <c r="BA213" s="125">
        <f>AI213*Valores!$C$79</f>
        <v>88992.99376000003</v>
      </c>
      <c r="BB213" s="125">
        <f>AI213*Valores!$C$80</f>
        <v>38934.434770000014</v>
      </c>
      <c r="BC213" s="125">
        <f>AI213*Valores!$C$81</f>
        <v>5562.062110000002</v>
      </c>
      <c r="BD213" s="125">
        <f>AI213*Valores!$C$83</f>
        <v>19467.217385000007</v>
      </c>
      <c r="BE213" s="125">
        <f>AI213*Valores!$C$85</f>
        <v>30035.135394000008</v>
      </c>
      <c r="BF213" s="125">
        <f>AI213*Valores!$C$84</f>
        <v>3337.237266000001</v>
      </c>
      <c r="BG213" s="126"/>
      <c r="BH213" s="126">
        <f t="shared" si="31"/>
        <v>23</v>
      </c>
      <c r="BI213" s="123" t="s">
        <v>8</v>
      </c>
    </row>
    <row r="214" spans="1:61" s="110" customFormat="1" ht="11.25" customHeight="1">
      <c r="A214" s="123" t="s">
        <v>465</v>
      </c>
      <c r="B214" s="123">
        <v>24</v>
      </c>
      <c r="C214" s="126">
        <v>207</v>
      </c>
      <c r="D214" s="124" t="str">
        <f t="shared" si="29"/>
        <v>Hora Cátedra Enseñanza Superior 24 hs</v>
      </c>
      <c r="E214" s="192">
        <f t="shared" si="30"/>
        <v>2376</v>
      </c>
      <c r="F214" s="125">
        <f>ROUND(E214*Valores!$C$2,2)</f>
        <v>196685.28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63340.5</v>
      </c>
      <c r="N214" s="125">
        <f t="shared" si="33"/>
        <v>0</v>
      </c>
      <c r="O214" s="125">
        <f>Valores!$C$7*B214</f>
        <v>67371.6</v>
      </c>
      <c r="P214" s="125">
        <f>ROUND(IF(B214&lt;15,(Valores!$E$5*B214),Valores!$D$5),2)</f>
        <v>42317.14</v>
      </c>
      <c r="Q214" s="125">
        <v>0</v>
      </c>
      <c r="R214" s="125">
        <f>IF($F$4="NO",IF(Valores!$C$50*B214&gt;Valores!$F$47,Valores!$F$47,Valores!$C$50*B214),IF(Valores!$C$50*B214&gt;Valores!$F$47,Valores!$F$47,Valores!$C$50*B214)/2)</f>
        <v>35487.600000000006</v>
      </c>
      <c r="S214" s="125">
        <f>Valores!$C$18*B214</f>
        <v>21189.12</v>
      </c>
      <c r="T214" s="125">
        <f t="shared" si="40"/>
        <v>21189.12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IF(Valores!$C$99*B214&gt;Valores!$C$98,Valores!$C$98,Valores!$C$99*B214)</f>
        <v>64686.479999999996</v>
      </c>
      <c r="AA214" s="125">
        <f>IF((Valores!$C$28)*B214&gt;Valores!$F$28,Valores!$F$28,(Valores!$C$28)*B214)</f>
        <v>1664.6399999999999</v>
      </c>
      <c r="AB214" s="214">
        <v>0</v>
      </c>
      <c r="AC214" s="125">
        <f t="shared" si="34"/>
        <v>0</v>
      </c>
      <c r="AD214" s="125">
        <f>IF(Valores!$C$29*B214&gt;Valores!$F$29,Valores!$F$29,Valores!$C$29*B214)</f>
        <v>1386.24</v>
      </c>
      <c r="AE214" s="192">
        <v>0</v>
      </c>
      <c r="AF214" s="125">
        <f>ROUND(AE214*Valores!$C$2,2)</f>
        <v>0</v>
      </c>
      <c r="AG214" s="125">
        <f>IF($F$4="NO",IF(Valores!$D$64*'Escala Docente'!B214&gt;Valores!$F$64,Valores!$F$64,Valores!$D$64*'Escala Docente'!B214),IF(Valores!$D$64*'Escala Docente'!B214&gt;Valores!$F$64,Valores!$F$64,Valores!$D$64*'Escala Docente'!B214)/2)+0.05</f>
        <v>31657.969999999998</v>
      </c>
      <c r="AH214" s="125">
        <f>SUM(F214,H214,J214,L214,M214,N214,O214,P214,Q214,R214,T214,U214,V214,X214,Y214,Z214,AA214,AC214,AD214,AF214,AG214)*Valores!$C$104</f>
        <v>52578.657</v>
      </c>
      <c r="AI214" s="125">
        <f t="shared" si="37"/>
        <v>578365.227</v>
      </c>
      <c r="AJ214" s="125">
        <f>IF(Valores!$C$33*B214&gt;Valores!$F$33,Valores!$F$33,Valores!$C$33*B214)</f>
        <v>55999.99999999991</v>
      </c>
      <c r="AK214" s="125">
        <v>0</v>
      </c>
      <c r="AL214" s="125">
        <f>IF(Valores!$C$92*B214&gt;Valores!$C$91,Valores!$C$91,Valores!$C$92*B214)</f>
        <v>0</v>
      </c>
      <c r="AM214" s="125">
        <f>IF(Valores!C$40*B214&gt;Valores!F$39,Valores!F$39,Valores!C$40*B214)</f>
        <v>0</v>
      </c>
      <c r="AN214" s="125">
        <f>IF($F$3="NO",0,IF(Valores!$C$62*B214&gt;Valores!$F$62,Valores!$F$62,Valores!$C$62*B214))</f>
        <v>0</v>
      </c>
      <c r="AO214" s="125">
        <f t="shared" si="35"/>
        <v>55999.99999999991</v>
      </c>
      <c r="AP214" s="125">
        <f>AI214*Valores!$C$72</f>
        <v>-63620.17496999999</v>
      </c>
      <c r="AQ214" s="125">
        <f>IF(AI214&lt;Valores!$E$73,-0.02,IF(AI214&lt;Valores!$F$73,-0.03,-0.04))*AI214</f>
        <v>-11567.30454</v>
      </c>
      <c r="AR214" s="125">
        <f>AI214*Valores!$C$75</f>
        <v>-31810.087484999996</v>
      </c>
      <c r="AS214" s="125">
        <f>Valores!$C$102</f>
        <v>-1270.16</v>
      </c>
      <c r="AT214" s="125">
        <f>IF($F$5=0,Valores!$C$103,(Valores!$C$103+$F$5*(Valores!$C$103)))</f>
        <v>-11714</v>
      </c>
      <c r="AU214" s="125">
        <f t="shared" si="38"/>
        <v>514383.50000499986</v>
      </c>
      <c r="AV214" s="125">
        <f t="shared" si="32"/>
        <v>-63620.17496999999</v>
      </c>
      <c r="AW214" s="125">
        <f t="shared" si="39"/>
        <v>-11567.30454</v>
      </c>
      <c r="AX214" s="125">
        <f>AI214*Valores!$C$76</f>
        <v>-15615.861128999999</v>
      </c>
      <c r="AY214" s="125">
        <f>AI214*Valores!$C$77</f>
        <v>-1735.095681</v>
      </c>
      <c r="AZ214" s="125">
        <f t="shared" si="36"/>
        <v>541826.7906799999</v>
      </c>
      <c r="BA214" s="125">
        <f>AI214*Valores!$C$79</f>
        <v>92538.43632</v>
      </c>
      <c r="BB214" s="125">
        <f>AI214*Valores!$C$80</f>
        <v>40485.56589</v>
      </c>
      <c r="BC214" s="125">
        <f>AI214*Valores!$C$81</f>
        <v>5783.65227</v>
      </c>
      <c r="BD214" s="125">
        <f>AI214*Valores!$C$83</f>
        <v>20242.782945</v>
      </c>
      <c r="BE214" s="125">
        <f>AI214*Valores!$C$85</f>
        <v>31231.722257999998</v>
      </c>
      <c r="BF214" s="125">
        <f>AI214*Valores!$C$84</f>
        <v>3470.191362</v>
      </c>
      <c r="BG214" s="126"/>
      <c r="BH214" s="126">
        <f t="shared" si="31"/>
        <v>24</v>
      </c>
      <c r="BI214" s="123" t="s">
        <v>8</v>
      </c>
    </row>
    <row r="215" spans="1:61" s="110" customFormat="1" ht="11.25" customHeight="1">
      <c r="A215" s="123" t="s">
        <v>465</v>
      </c>
      <c r="B215" s="123">
        <v>25</v>
      </c>
      <c r="C215" s="126">
        <v>208</v>
      </c>
      <c r="D215" s="124" t="str">
        <f t="shared" si="29"/>
        <v>Hora Cátedra Enseñanza Superior 25 hs</v>
      </c>
      <c r="E215" s="192">
        <f t="shared" si="30"/>
        <v>2475</v>
      </c>
      <c r="F215" s="125">
        <f>ROUND(E215*Valores!$C$2,2)</f>
        <v>204880.5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65979.69</v>
      </c>
      <c r="N215" s="125">
        <f t="shared" si="33"/>
        <v>0</v>
      </c>
      <c r="O215" s="125">
        <f>Valores!$C$7*B215</f>
        <v>70178.75</v>
      </c>
      <c r="P215" s="125">
        <f>ROUND(IF(B215&lt;15,(Valores!$E$5*B215),Valores!$D$5),2)</f>
        <v>42317.14</v>
      </c>
      <c r="Q215" s="125">
        <v>0</v>
      </c>
      <c r="R215" s="125">
        <f>IF($F$4="NO",IF(Valores!$C$50*B215&gt;Valores!$F$47,Valores!$F$47,Valores!$C$50*B215),IF(Valores!$C$50*B215&gt;Valores!$F$47,Valores!$F$47,Valores!$C$50*B215)/2)</f>
        <v>36966.25</v>
      </c>
      <c r="S215" s="125">
        <f>Valores!$C$18*B215</f>
        <v>22072</v>
      </c>
      <c r="T215" s="125">
        <f t="shared" si="40"/>
        <v>22072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IF(Valores!$C$99*B215&gt;Valores!$C$98,Valores!$C$98,Valores!$C$99*B215)</f>
        <v>67381.75</v>
      </c>
      <c r="AA215" s="125">
        <f>IF((Valores!$C$28)*B215&gt;Valores!$F$28,Valores!$F$28,(Valores!$C$28)*B215)</f>
        <v>1734</v>
      </c>
      <c r="AB215" s="214">
        <v>0</v>
      </c>
      <c r="AC215" s="125">
        <f t="shared" si="34"/>
        <v>0</v>
      </c>
      <c r="AD215" s="125">
        <f>IF(Valores!$C$29*B215&gt;Valores!$F$29,Valores!$F$29,Valores!$C$29*B215)</f>
        <v>1444</v>
      </c>
      <c r="AE215" s="192">
        <v>0</v>
      </c>
      <c r="AF215" s="125">
        <f>ROUND(AE215*Valores!$C$2,2)</f>
        <v>0</v>
      </c>
      <c r="AG215" s="125">
        <f>IF($F$4="NO",IF(Valores!$D$64*'Escala Docente'!B215&gt;Valores!$F$64,Valores!$F$64,Valores!$D$64*'Escala Docente'!B215),IF(Valores!$D$64*'Escala Docente'!B215&gt;Valores!$F$64,Valores!$F$64,Valores!$D$64*'Escala Docente'!B215)/2)+0.05</f>
        <v>32977.05</v>
      </c>
      <c r="AH215" s="125">
        <f>SUM(F215,H215,J215,L215,M215,N215,O215,P215,Q215,R215,T215,U215,V215,X215,Y215,Z215,AA215,AC215,AD215,AF215,AG215)*Valores!$C$104</f>
        <v>54593.113000000005</v>
      </c>
      <c r="AI215" s="125">
        <f t="shared" si="37"/>
        <v>600524.243</v>
      </c>
      <c r="AJ215" s="125">
        <f>IF(Valores!$C$33*B215&gt;Valores!$F$33,Valores!$F$33,Valores!$C$33*B215)</f>
        <v>58333.33333333325</v>
      </c>
      <c r="AK215" s="125">
        <v>0</v>
      </c>
      <c r="AL215" s="125">
        <f>IF(Valores!$C$92*B215&gt;Valores!$C$91,Valores!$C$91,Valores!$C$92*B215)</f>
        <v>0</v>
      </c>
      <c r="AM215" s="125">
        <f>IF(Valores!C$40*B215&gt;Valores!F$39,Valores!F$39,Valores!C$40*B215)</f>
        <v>0</v>
      </c>
      <c r="AN215" s="125">
        <f>IF($F$3="NO",0,IF(Valores!$C$62*B215&gt;Valores!$F$62,Valores!$F$62,Valores!$C$62*B215))</f>
        <v>0</v>
      </c>
      <c r="AO215" s="125">
        <f t="shared" si="35"/>
        <v>58333.33333333325</v>
      </c>
      <c r="AP215" s="125">
        <f>AI215*Valores!$C$72</f>
        <v>-66057.66673</v>
      </c>
      <c r="AQ215" s="125">
        <f>IF(AI215&lt;Valores!$E$73,-0.02,IF(AI215&lt;Valores!$F$73,-0.03,-0.04))*AI215</f>
        <v>-12010.48486</v>
      </c>
      <c r="AR215" s="125">
        <f>AI215*Valores!$C$75</f>
        <v>-33028.833365</v>
      </c>
      <c r="AS215" s="125">
        <f>Valores!$C$102</f>
        <v>-1270.16</v>
      </c>
      <c r="AT215" s="125">
        <f>IF($F$5=0,Valores!$C$103,(Valores!$C$103+$F$5*(Valores!$C$103)))</f>
        <v>-11714</v>
      </c>
      <c r="AU215" s="125">
        <f t="shared" si="38"/>
        <v>534776.4313783332</v>
      </c>
      <c r="AV215" s="125">
        <f t="shared" si="32"/>
        <v>-66057.66673</v>
      </c>
      <c r="AW215" s="125">
        <f t="shared" si="39"/>
        <v>-12010.48486</v>
      </c>
      <c r="AX215" s="125">
        <f>AI215*Valores!$C$76</f>
        <v>-16214.154561</v>
      </c>
      <c r="AY215" s="125">
        <f>AI215*Valores!$C$77</f>
        <v>-1801.572729</v>
      </c>
      <c r="AZ215" s="125">
        <f t="shared" si="36"/>
        <v>562773.6974533333</v>
      </c>
      <c r="BA215" s="125">
        <f>AI215*Valores!$C$79</f>
        <v>96083.87888</v>
      </c>
      <c r="BB215" s="125">
        <f>AI215*Valores!$C$80</f>
        <v>42036.69701</v>
      </c>
      <c r="BC215" s="125">
        <f>AI215*Valores!$C$81</f>
        <v>6005.24243</v>
      </c>
      <c r="BD215" s="125">
        <f>AI215*Valores!$C$83</f>
        <v>21018.348505</v>
      </c>
      <c r="BE215" s="125">
        <f>AI215*Valores!$C$85</f>
        <v>32428.309122</v>
      </c>
      <c r="BF215" s="125">
        <f>AI215*Valores!$C$84</f>
        <v>3603.145458</v>
      </c>
      <c r="BG215" s="126"/>
      <c r="BH215" s="126">
        <f t="shared" si="31"/>
        <v>25</v>
      </c>
      <c r="BI215" s="123" t="s">
        <v>4</v>
      </c>
    </row>
    <row r="216" spans="1:61" s="110" customFormat="1" ht="11.25" customHeight="1">
      <c r="A216" s="123" t="s">
        <v>465</v>
      </c>
      <c r="B216" s="123">
        <v>26</v>
      </c>
      <c r="C216" s="126">
        <v>209</v>
      </c>
      <c r="D216" s="124" t="str">
        <f t="shared" si="29"/>
        <v>Hora Cátedra Enseñanza Superior 26 hs</v>
      </c>
      <c r="E216" s="192">
        <f t="shared" si="30"/>
        <v>2574</v>
      </c>
      <c r="F216" s="125">
        <f>ROUND(E216*Valores!$C$2,2)</f>
        <v>213075.72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68618.88</v>
      </c>
      <c r="N216" s="125">
        <f t="shared" si="33"/>
        <v>0</v>
      </c>
      <c r="O216" s="125">
        <f>Valores!$C$7*B216</f>
        <v>72985.90000000001</v>
      </c>
      <c r="P216" s="125">
        <f>ROUND(IF(B216&lt;15,(Valores!$E$5*B216),Valores!$D$5),2)</f>
        <v>42317.14</v>
      </c>
      <c r="Q216" s="125">
        <v>0</v>
      </c>
      <c r="R216" s="125">
        <f>IF($F$4="NO",IF(Valores!$C$50*B216&gt;Valores!$F$47,Valores!$F$47,Valores!$C$50*B216),IF(Valores!$C$50*B216&gt;Valores!$F$47,Valores!$F$47,Valores!$C$50*B216)/2)</f>
        <v>38444.9</v>
      </c>
      <c r="S216" s="125">
        <f>Valores!$C$18*B216</f>
        <v>22954.88</v>
      </c>
      <c r="T216" s="125">
        <f t="shared" si="40"/>
        <v>22954.88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IF(Valores!$C$99*B216&gt;Valores!$C$98,Valores!$C$98,Valores!$C$99*B216)</f>
        <v>70077.02</v>
      </c>
      <c r="AA216" s="125">
        <f>IF((Valores!$C$28)*B216&gt;Valores!$F$28,Valores!$F$28,(Valores!$C$28)*B216)</f>
        <v>1803.36</v>
      </c>
      <c r="AB216" s="214">
        <v>0</v>
      </c>
      <c r="AC216" s="125">
        <f t="shared" si="34"/>
        <v>0</v>
      </c>
      <c r="AD216" s="125">
        <f>IF(Valores!$C$29*B216&gt;Valores!$F$29,Valores!$F$29,Valores!$C$29*B216)</f>
        <v>1501.76</v>
      </c>
      <c r="AE216" s="192">
        <v>0</v>
      </c>
      <c r="AF216" s="125">
        <f>ROUND(AE216*Valores!$C$2,2)</f>
        <v>0</v>
      </c>
      <c r="AG216" s="125">
        <f>IF($F$4="NO",IF(Valores!$D$64*'Escala Docente'!B216&gt;Valores!$F$64,Valores!$F$64,Valores!$D$64*'Escala Docente'!B216),IF(Valores!$D$64*'Escala Docente'!B216&gt;Valores!$F$64,Valores!$F$64,Valores!$D$64*'Escala Docente'!B216)/2)+0.05</f>
        <v>34296.130000000005</v>
      </c>
      <c r="AH216" s="125">
        <f>SUM(F216,H216,J216,L216,M216,N216,O216,P216,Q216,R216,T216,U216,V216,X216,Y216,Z216,AA216,AC216,AD216,AF216,AG216)*Valores!$C$104</f>
        <v>56607.56900000001</v>
      </c>
      <c r="AI216" s="125">
        <f t="shared" si="37"/>
        <v>622683.2590000001</v>
      </c>
      <c r="AJ216" s="125">
        <f>IF(Valores!$C$33*B216&gt;Valores!$F$33,Valores!$F$33,Valores!$C$33*B216)</f>
        <v>60666.66666666658</v>
      </c>
      <c r="AK216" s="125">
        <v>0</v>
      </c>
      <c r="AL216" s="125">
        <f>IF(Valores!$C$92*B216&gt;Valores!$C$91,Valores!$C$91,Valores!$C$92*B216)</f>
        <v>0</v>
      </c>
      <c r="AM216" s="125">
        <f>IF(Valores!C$40*B216&gt;Valores!F$39,Valores!F$39,Valores!C$40*B216)</f>
        <v>0</v>
      </c>
      <c r="AN216" s="125">
        <f>IF($F$3="NO",0,IF(Valores!$C$62*B216&gt;Valores!$F$62,Valores!$F$62,Valores!$C$62*B216))</f>
        <v>0</v>
      </c>
      <c r="AO216" s="125">
        <f t="shared" si="35"/>
        <v>60666.66666666658</v>
      </c>
      <c r="AP216" s="125">
        <f>AI216*Valores!$C$72</f>
        <v>-68495.15849000002</v>
      </c>
      <c r="AQ216" s="125">
        <f>IF(AI216&lt;Valores!$E$73,-0.02,IF(AI216&lt;Valores!$F$73,-0.03,-0.04))*AI216</f>
        <v>-12453.665180000002</v>
      </c>
      <c r="AR216" s="125">
        <f>AI216*Valores!$C$75</f>
        <v>-34247.57924500001</v>
      </c>
      <c r="AS216" s="125">
        <f>Valores!$C$102</f>
        <v>-1270.16</v>
      </c>
      <c r="AT216" s="125">
        <f>IF($F$5=0,Valores!$C$103,(Valores!$C$103+$F$5*(Valores!$C$103)))</f>
        <v>-11714</v>
      </c>
      <c r="AU216" s="125">
        <f t="shared" si="38"/>
        <v>555169.3627516667</v>
      </c>
      <c r="AV216" s="125">
        <f t="shared" si="32"/>
        <v>-68495.15849000002</v>
      </c>
      <c r="AW216" s="125">
        <f t="shared" si="39"/>
        <v>-12453.665180000002</v>
      </c>
      <c r="AX216" s="125">
        <f>AI216*Valores!$C$76</f>
        <v>-16812.447993</v>
      </c>
      <c r="AY216" s="125">
        <f>AI216*Valores!$C$77</f>
        <v>-1868.0497770000002</v>
      </c>
      <c r="AZ216" s="125">
        <f t="shared" si="36"/>
        <v>583720.6042266667</v>
      </c>
      <c r="BA216" s="125">
        <f>AI216*Valores!$C$79</f>
        <v>99629.32144000001</v>
      </c>
      <c r="BB216" s="125">
        <f>AI216*Valores!$C$80</f>
        <v>43587.82813000001</v>
      </c>
      <c r="BC216" s="125">
        <f>AI216*Valores!$C$81</f>
        <v>6226.832590000001</v>
      </c>
      <c r="BD216" s="125">
        <f>AI216*Valores!$C$83</f>
        <v>21793.914065000004</v>
      </c>
      <c r="BE216" s="125">
        <f>AI216*Valores!$C$85</f>
        <v>33624.895986</v>
      </c>
      <c r="BF216" s="125">
        <f>AI216*Valores!$C$84</f>
        <v>3736.0995540000004</v>
      </c>
      <c r="BG216" s="126"/>
      <c r="BH216" s="126">
        <f t="shared" si="31"/>
        <v>26</v>
      </c>
      <c r="BI216" s="123" t="s">
        <v>8</v>
      </c>
    </row>
    <row r="217" spans="1:61" s="110" customFormat="1" ht="11.25" customHeight="1">
      <c r="A217" s="123" t="s">
        <v>465</v>
      </c>
      <c r="B217" s="123">
        <v>27</v>
      </c>
      <c r="C217" s="126">
        <v>210</v>
      </c>
      <c r="D217" s="124" t="str">
        <f t="shared" si="29"/>
        <v>Hora Cátedra Enseñanza Superior 27 hs</v>
      </c>
      <c r="E217" s="192">
        <f t="shared" si="30"/>
        <v>2673</v>
      </c>
      <c r="F217" s="125">
        <f>ROUND(E217*Valores!$C$2,2)</f>
        <v>221270.94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71258.06</v>
      </c>
      <c r="N217" s="125">
        <f t="shared" si="33"/>
        <v>0</v>
      </c>
      <c r="O217" s="125">
        <f>Valores!$C$7*B217</f>
        <v>75793.05</v>
      </c>
      <c r="P217" s="125">
        <f>ROUND(IF(B217&lt;15,(Valores!$E$5*B217),Valores!$D$5),2)</f>
        <v>42317.14</v>
      </c>
      <c r="Q217" s="125">
        <v>0</v>
      </c>
      <c r="R217" s="125">
        <f>IF($F$4="NO",IF(Valores!$C$50*B217&gt;Valores!$F$47,Valores!$F$47,Valores!$C$50*B217),IF(Valores!$C$50*B217&gt;Valores!$F$47,Valores!$F$47,Valores!$C$50*B217)/2)</f>
        <v>39923.55</v>
      </c>
      <c r="S217" s="125">
        <f>Valores!$C$18*B217</f>
        <v>23837.76</v>
      </c>
      <c r="T217" s="125">
        <f t="shared" si="40"/>
        <v>23837.76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IF(Valores!$C$99*B217&gt;Valores!$C$98,Valores!$C$98,Valores!$C$99*B217)</f>
        <v>72772.29</v>
      </c>
      <c r="AA217" s="125">
        <f>IF((Valores!$C$28)*B217&gt;Valores!$F$28,Valores!$F$28,(Valores!$C$28)*B217)</f>
        <v>1872.72</v>
      </c>
      <c r="AB217" s="214">
        <v>0</v>
      </c>
      <c r="AC217" s="125">
        <f t="shared" si="34"/>
        <v>0</v>
      </c>
      <c r="AD217" s="125">
        <f>IF(Valores!$C$29*B217&gt;Valores!$F$29,Valores!$F$29,Valores!$C$29*B217)</f>
        <v>1559.52</v>
      </c>
      <c r="AE217" s="192">
        <v>0</v>
      </c>
      <c r="AF217" s="125">
        <f>ROUND(AE217*Valores!$C$2,2)</f>
        <v>0</v>
      </c>
      <c r="AG217" s="125">
        <f>IF($F$4="NO",IF(Valores!$D$64*'Escala Docente'!B217&gt;Valores!$F$64,Valores!$F$64,Valores!$D$64*'Escala Docente'!B217),IF(Valores!$D$64*'Escala Docente'!B217&gt;Valores!$F$64,Valores!$F$64,Valores!$D$64*'Escala Docente'!B217)/2)+0.06</f>
        <v>35615.219999999994</v>
      </c>
      <c r="AH217" s="125">
        <f>SUM(F217,H217,J217,L217,M217,N217,O217,P217,Q217,R217,T217,U217,V217,X217,Y217,Z217,AA217,AC217,AD217,AF217,AG217)*Valores!$C$104</f>
        <v>58622.025</v>
      </c>
      <c r="AI217" s="125">
        <f t="shared" si="37"/>
        <v>644842.275</v>
      </c>
      <c r="AJ217" s="125">
        <f>IF(Valores!$C$33*B217&gt;Valores!$F$33,Valores!$F$33,Valores!$C$33*B217)</f>
        <v>62999.999999999905</v>
      </c>
      <c r="AK217" s="125">
        <v>0</v>
      </c>
      <c r="AL217" s="125">
        <f>IF(Valores!$C$92*B217&gt;Valores!$C$91,Valores!$C$91,Valores!$C$92*B217)</f>
        <v>0</v>
      </c>
      <c r="AM217" s="125">
        <f>IF(Valores!C$40*B217&gt;Valores!F$39,Valores!F$39,Valores!C$40*B217)</f>
        <v>0</v>
      </c>
      <c r="AN217" s="125">
        <f>IF($F$3="NO",0,IF(Valores!$C$62*B217&gt;Valores!$F$62,Valores!$F$62,Valores!$C$62*B217))</f>
        <v>0</v>
      </c>
      <c r="AO217" s="125">
        <f t="shared" si="35"/>
        <v>62999.999999999905</v>
      </c>
      <c r="AP217" s="125">
        <f>AI217*Valores!$C$72</f>
        <v>-70932.65025</v>
      </c>
      <c r="AQ217" s="125">
        <f>IF(AI217&lt;Valores!$E$73,-0.02,IF(AI217&lt;Valores!$F$73,-0.03,-0.04))*AI217</f>
        <v>-12896.845500000001</v>
      </c>
      <c r="AR217" s="125">
        <f>AI217*Valores!$C$75</f>
        <v>-35466.325125</v>
      </c>
      <c r="AS217" s="125">
        <f>Valores!$C$102</f>
        <v>-1270.16</v>
      </c>
      <c r="AT217" s="125">
        <f>IF($F$5=0,Valores!$C$103,(Valores!$C$103+$F$5*(Valores!$C$103)))</f>
        <v>-11714</v>
      </c>
      <c r="AU217" s="125">
        <f t="shared" si="38"/>
        <v>575562.2941249999</v>
      </c>
      <c r="AV217" s="125">
        <f t="shared" si="32"/>
        <v>-70932.65025</v>
      </c>
      <c r="AW217" s="125">
        <f t="shared" si="39"/>
        <v>-12896.845500000001</v>
      </c>
      <c r="AX217" s="125">
        <f>AI217*Valores!$C$76</f>
        <v>-17410.741425</v>
      </c>
      <c r="AY217" s="125">
        <f>AI217*Valores!$C$77</f>
        <v>-1934.5268250000001</v>
      </c>
      <c r="AZ217" s="125">
        <f t="shared" si="36"/>
        <v>604667.5109999999</v>
      </c>
      <c r="BA217" s="125">
        <f>AI217*Valores!$C$79</f>
        <v>103174.76400000001</v>
      </c>
      <c r="BB217" s="125">
        <f>AI217*Valores!$C$80</f>
        <v>45138.95925000001</v>
      </c>
      <c r="BC217" s="125">
        <f>AI217*Valores!$C$81</f>
        <v>6448.422750000001</v>
      </c>
      <c r="BD217" s="125">
        <f>AI217*Valores!$C$83</f>
        <v>22569.479625000004</v>
      </c>
      <c r="BE217" s="125">
        <f>AI217*Valores!$C$85</f>
        <v>34821.48285</v>
      </c>
      <c r="BF217" s="125">
        <f>AI217*Valores!$C$84</f>
        <v>3869.0536500000003</v>
      </c>
      <c r="BG217" s="126"/>
      <c r="BH217" s="126">
        <f t="shared" si="31"/>
        <v>27</v>
      </c>
      <c r="BI217" s="123" t="s">
        <v>8</v>
      </c>
    </row>
    <row r="218" spans="1:61" s="110" customFormat="1" ht="11.25" customHeight="1">
      <c r="A218" s="123" t="s">
        <v>465</v>
      </c>
      <c r="B218" s="123">
        <v>28</v>
      </c>
      <c r="C218" s="126">
        <v>211</v>
      </c>
      <c r="D218" s="124" t="str">
        <f t="shared" si="29"/>
        <v>Hora Cátedra Enseñanza Superior 28 hs</v>
      </c>
      <c r="E218" s="192">
        <f t="shared" si="30"/>
        <v>2772</v>
      </c>
      <c r="F218" s="125">
        <f>ROUND(E218*Valores!$C$2,2)</f>
        <v>229466.16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73897.25</v>
      </c>
      <c r="N218" s="125">
        <f t="shared" si="33"/>
        <v>0</v>
      </c>
      <c r="O218" s="125">
        <f>Valores!$C$7*B218</f>
        <v>78600.2</v>
      </c>
      <c r="P218" s="125">
        <f>ROUND(IF(B218&lt;15,(Valores!$E$5*B218),Valores!$D$5),2)</f>
        <v>42317.14</v>
      </c>
      <c r="Q218" s="125">
        <v>0</v>
      </c>
      <c r="R218" s="125">
        <f>IF($F$4="NO",IF(Valores!$C$50*B218&gt;Valores!$F$47,Valores!$F$47,Valores!$C$50*B218),IF(Valores!$C$50*B218&gt;Valores!$F$47,Valores!$F$47,Valores!$C$50*B218)/2)</f>
        <v>41402.200000000004</v>
      </c>
      <c r="S218" s="125">
        <f>Valores!$C$18*B218</f>
        <v>24720.64</v>
      </c>
      <c r="T218" s="125">
        <f t="shared" si="40"/>
        <v>24720.64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IF(Valores!$C$99*B218&gt;Valores!$C$98,Valores!$C$98,Valores!$C$99*B218)</f>
        <v>75467.56</v>
      </c>
      <c r="AA218" s="125">
        <f>IF((Valores!$C$28)*B218&gt;Valores!$F$28,Valores!$F$28,(Valores!$C$28)*B218)</f>
        <v>1942.08</v>
      </c>
      <c r="AB218" s="214">
        <v>0</v>
      </c>
      <c r="AC218" s="125">
        <f t="shared" si="34"/>
        <v>0</v>
      </c>
      <c r="AD218" s="125">
        <f>IF(Valores!$C$29*B218&gt;Valores!$F$29,Valores!$F$29,Valores!$C$29*B218)</f>
        <v>1617.28</v>
      </c>
      <c r="AE218" s="192">
        <v>0</v>
      </c>
      <c r="AF218" s="125">
        <f>ROUND(AE218*Valores!$C$2,2)</f>
        <v>0</v>
      </c>
      <c r="AG218" s="125">
        <f>IF($F$4="NO",IF(Valores!$D$64*'Escala Docente'!B218&gt;Valores!$F$64,Valores!$F$64,Valores!$D$64*'Escala Docente'!B218),IF(Valores!$D$64*'Escala Docente'!B218&gt;Valores!$F$64,Valores!$F$64,Valores!$D$64*'Escala Docente'!B218)/2)+0.06</f>
        <v>36934.299999999996</v>
      </c>
      <c r="AH218" s="125">
        <f>SUM(F218,H218,J218,L218,M218,N218,O218,P218,Q218,R218,T218,U218,V218,X218,Y218,Z218,AA218,AC218,AD218,AF218,AG218)*Valores!$C$104</f>
        <v>60636.48100000002</v>
      </c>
      <c r="AI218" s="125">
        <f t="shared" si="37"/>
        <v>667001.2910000002</v>
      </c>
      <c r="AJ218" s="125">
        <f>IF(Valores!$C$33*B218&gt;Valores!$F$33,Valores!$F$33,Valores!$C$33*B218)</f>
        <v>65333.333333333234</v>
      </c>
      <c r="AK218" s="125">
        <v>0</v>
      </c>
      <c r="AL218" s="125">
        <f>IF(Valores!$C$92*B218&gt;Valores!$C$91,Valores!$C$91,Valores!$C$92*B218)</f>
        <v>0</v>
      </c>
      <c r="AM218" s="125">
        <f>IF(Valores!C$40*B218&gt;Valores!F$39,Valores!F$39,Valores!C$40*B218)</f>
        <v>0</v>
      </c>
      <c r="AN218" s="125">
        <f>IF($F$3="NO",0,IF(Valores!$C$62*B218&gt;Valores!$F$62,Valores!$F$62,Valores!$C$62*B218))</f>
        <v>0</v>
      </c>
      <c r="AO218" s="125">
        <f t="shared" si="35"/>
        <v>65333.333333333234</v>
      </c>
      <c r="AP218" s="125">
        <f>AI218*Valores!$C$72</f>
        <v>-73370.14201000003</v>
      </c>
      <c r="AQ218" s="125">
        <f>IF(AI218&lt;Valores!$E$73,-0.02,IF(AI218&lt;Valores!$F$73,-0.03,-0.04))*AI218</f>
        <v>-13340.025820000004</v>
      </c>
      <c r="AR218" s="125">
        <f>AI218*Valores!$C$75</f>
        <v>-36685.07100500001</v>
      </c>
      <c r="AS218" s="125">
        <f>Valores!$C$102</f>
        <v>-1270.16</v>
      </c>
      <c r="AT218" s="125">
        <f>IF($F$5=0,Valores!$C$103,(Valores!$C$103+$F$5*(Valores!$C$103)))</f>
        <v>-11714</v>
      </c>
      <c r="AU218" s="125">
        <f t="shared" si="38"/>
        <v>595955.2254983333</v>
      </c>
      <c r="AV218" s="125">
        <f t="shared" si="32"/>
        <v>-73370.14201000003</v>
      </c>
      <c r="AW218" s="125">
        <f t="shared" si="39"/>
        <v>-13340.025820000004</v>
      </c>
      <c r="AX218" s="125">
        <f>AI218*Valores!$C$76</f>
        <v>-18009.034857000006</v>
      </c>
      <c r="AY218" s="125">
        <f>AI218*Valores!$C$77</f>
        <v>-2001.0038730000006</v>
      </c>
      <c r="AZ218" s="125">
        <f t="shared" si="36"/>
        <v>625614.4177733334</v>
      </c>
      <c r="BA218" s="125">
        <f>AI218*Valores!$C$79</f>
        <v>106720.20656000004</v>
      </c>
      <c r="BB218" s="125">
        <f>AI218*Valores!$C$80</f>
        <v>46690.09037000002</v>
      </c>
      <c r="BC218" s="125">
        <f>AI218*Valores!$C$81</f>
        <v>6670.012910000002</v>
      </c>
      <c r="BD218" s="125">
        <f>AI218*Valores!$C$83</f>
        <v>23345.04518500001</v>
      </c>
      <c r="BE218" s="125">
        <f>AI218*Valores!$C$85</f>
        <v>36018.06971400001</v>
      </c>
      <c r="BF218" s="125">
        <f>AI218*Valores!$C$84</f>
        <v>4002.007746000001</v>
      </c>
      <c r="BG218" s="126"/>
      <c r="BH218" s="126">
        <f t="shared" si="31"/>
        <v>28</v>
      </c>
      <c r="BI218" s="123" t="s">
        <v>8</v>
      </c>
    </row>
    <row r="219" spans="1:61" s="110" customFormat="1" ht="11.25" customHeight="1">
      <c r="A219" s="123" t="s">
        <v>465</v>
      </c>
      <c r="B219" s="123">
        <v>29</v>
      </c>
      <c r="C219" s="126">
        <v>212</v>
      </c>
      <c r="D219" s="124" t="str">
        <f t="shared" si="29"/>
        <v>Hora Cátedra Enseñanza Superior 29 hs</v>
      </c>
      <c r="E219" s="192">
        <f t="shared" si="30"/>
        <v>2871</v>
      </c>
      <c r="F219" s="125">
        <f>ROUND(E219*Valores!$C$2,2)</f>
        <v>237661.38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76536.44</v>
      </c>
      <c r="N219" s="125">
        <f t="shared" si="33"/>
        <v>0</v>
      </c>
      <c r="O219" s="125">
        <f>Valores!$C$7*B219</f>
        <v>81407.35</v>
      </c>
      <c r="P219" s="125">
        <f>ROUND(IF(B219&lt;15,(Valores!$E$5*B219),Valores!$D$5),2)</f>
        <v>42317.14</v>
      </c>
      <c r="Q219" s="125">
        <v>0</v>
      </c>
      <c r="R219" s="125">
        <f>IF($F$4="NO",IF(Valores!$C$50*B219&gt;Valores!$F$47,Valores!$F$47,Valores!$C$50*B219),IF(Valores!$C$50*B219&gt;Valores!$F$47,Valores!$F$47,Valores!$C$50*B219)/2)</f>
        <v>42880.850000000006</v>
      </c>
      <c r="S219" s="125">
        <f>Valores!$C$18*B219</f>
        <v>25603.52</v>
      </c>
      <c r="T219" s="125">
        <f t="shared" si="40"/>
        <v>25603.52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IF(Valores!$C$99*B219&gt;Valores!$C$98,Valores!$C$98,Valores!$C$99*B219)</f>
        <v>78162.83</v>
      </c>
      <c r="AA219" s="125">
        <f>IF((Valores!$C$28)*B219&gt;Valores!$F$28,Valores!$F$28,(Valores!$C$28)*B219)</f>
        <v>2011.44</v>
      </c>
      <c r="AB219" s="214">
        <v>0</v>
      </c>
      <c r="AC219" s="125">
        <f t="shared" si="34"/>
        <v>0</v>
      </c>
      <c r="AD219" s="125">
        <f>IF(Valores!$C$29*B219&gt;Valores!$F$29,Valores!$F$29,Valores!$C$29*B219)</f>
        <v>1675.04</v>
      </c>
      <c r="AE219" s="192">
        <v>0</v>
      </c>
      <c r="AF219" s="125">
        <f>ROUND(AE219*Valores!$C$2,2)</f>
        <v>0</v>
      </c>
      <c r="AG219" s="125">
        <f>IF($F$4="NO",IF(Valores!$D$64*'Escala Docente'!B219&gt;Valores!$F$64,Valores!$F$64,Valores!$D$64*'Escala Docente'!B219),IF(Valores!$D$64*'Escala Docente'!B219&gt;Valores!$F$64,Valores!$F$64,Valores!$D$64*'Escala Docente'!B219)/2)+0.06</f>
        <v>38253.38</v>
      </c>
      <c r="AH219" s="125">
        <f>SUM(F219,H219,J219,L219,M219,N219,O219,P219,Q219,R219,T219,U219,V219,X219,Y219,Z219,AA219,AC219,AD219,AF219,AG219)*Valores!$C$104</f>
        <v>62650.937000000005</v>
      </c>
      <c r="AI219" s="125">
        <f t="shared" si="37"/>
        <v>689160.307</v>
      </c>
      <c r="AJ219" s="125">
        <f>IF(Valores!$C$33*B219&gt;Valores!$F$33,Valores!$F$33,Valores!$C$33*B219)</f>
        <v>67666.66666666657</v>
      </c>
      <c r="AK219" s="125">
        <v>0</v>
      </c>
      <c r="AL219" s="125">
        <f>IF(Valores!$C$92*B219&gt;Valores!$C$91,Valores!$C$91,Valores!$C$92*B219)</f>
        <v>0</v>
      </c>
      <c r="AM219" s="125">
        <f>IF(Valores!C$40*B219&gt;Valores!F$39,Valores!F$39,Valores!C$40*B219)</f>
        <v>0</v>
      </c>
      <c r="AN219" s="125">
        <f>IF($F$3="NO",0,IF(Valores!$C$62*B219&gt;Valores!$F$62,Valores!$F$62,Valores!$C$62*B219))</f>
        <v>0</v>
      </c>
      <c r="AO219" s="125">
        <f t="shared" si="35"/>
        <v>67666.66666666657</v>
      </c>
      <c r="AP219" s="125">
        <f>AI219*Valores!$C$72</f>
        <v>-75807.63377</v>
      </c>
      <c r="AQ219" s="125">
        <f>IF(AI219&lt;Valores!$E$73,-0.02,IF(AI219&lt;Valores!$F$73,-0.03,-0.04))*AI219</f>
        <v>-13783.20614</v>
      </c>
      <c r="AR219" s="125">
        <f>AI219*Valores!$C$75</f>
        <v>-37903.816885</v>
      </c>
      <c r="AS219" s="125">
        <f>Valores!$C$102</f>
        <v>-1270.16</v>
      </c>
      <c r="AT219" s="125">
        <f>IF($F$5=0,Valores!$C$103,(Valores!$C$103+$F$5*(Valores!$C$103)))</f>
        <v>-11714</v>
      </c>
      <c r="AU219" s="125">
        <f t="shared" si="38"/>
        <v>616348.1568716665</v>
      </c>
      <c r="AV219" s="125">
        <f t="shared" si="32"/>
        <v>-75807.63377</v>
      </c>
      <c r="AW219" s="125">
        <f t="shared" si="39"/>
        <v>-13783.20614</v>
      </c>
      <c r="AX219" s="125">
        <f>AI219*Valores!$C$76</f>
        <v>-18607.328289</v>
      </c>
      <c r="AY219" s="125">
        <f>AI219*Valores!$C$77</f>
        <v>-2067.4809210000003</v>
      </c>
      <c r="AZ219" s="125">
        <f t="shared" si="36"/>
        <v>646561.3245466666</v>
      </c>
      <c r="BA219" s="125">
        <f>AI219*Valores!$C$79</f>
        <v>110265.64912</v>
      </c>
      <c r="BB219" s="125">
        <f>AI219*Valores!$C$80</f>
        <v>48241.22149</v>
      </c>
      <c r="BC219" s="125">
        <f>AI219*Valores!$C$81</f>
        <v>6891.60307</v>
      </c>
      <c r="BD219" s="125">
        <f>AI219*Valores!$C$83</f>
        <v>24120.610745</v>
      </c>
      <c r="BE219" s="125">
        <f>AI219*Valores!$C$85</f>
        <v>37214.656578</v>
      </c>
      <c r="BF219" s="125">
        <f>AI219*Valores!$C$84</f>
        <v>4134.961842000001</v>
      </c>
      <c r="BG219" s="126"/>
      <c r="BH219" s="126">
        <f t="shared" si="31"/>
        <v>29</v>
      </c>
      <c r="BI219" s="123" t="s">
        <v>8</v>
      </c>
    </row>
    <row r="220" spans="1:61" s="110" customFormat="1" ht="11.25" customHeight="1">
      <c r="A220" s="123" t="s">
        <v>465</v>
      </c>
      <c r="B220" s="123">
        <v>30</v>
      </c>
      <c r="C220" s="126">
        <v>213</v>
      </c>
      <c r="D220" s="124" t="str">
        <f t="shared" si="29"/>
        <v>Hora Cátedra Enseñanza Superior 30 hs</v>
      </c>
      <c r="E220" s="192">
        <f t="shared" si="30"/>
        <v>2970</v>
      </c>
      <c r="F220" s="125">
        <f>ROUND(E220*Valores!$C$2,2)</f>
        <v>245856.6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79175.63</v>
      </c>
      <c r="N220" s="125">
        <f t="shared" si="33"/>
        <v>0</v>
      </c>
      <c r="O220" s="125">
        <f>Valores!$C$7*B220</f>
        <v>84214.5</v>
      </c>
      <c r="P220" s="125">
        <f>ROUND(IF(B220&lt;15,(Valores!$E$5*B220),Valores!$D$5),2)</f>
        <v>42317.14</v>
      </c>
      <c r="Q220" s="125">
        <v>0</v>
      </c>
      <c r="R220" s="125">
        <f>IF($F$4="NO",IF(Valores!$C$50*B220&gt;Valores!$F$47,Valores!$F$47,Valores!$C$50*B220),IF(Valores!$C$50*B220&gt;Valores!$F$47,Valores!$F$47,Valores!$C$50*B220)/2)</f>
        <v>44359.5</v>
      </c>
      <c r="S220" s="125">
        <f>Valores!$C$18*B220</f>
        <v>26486.4</v>
      </c>
      <c r="T220" s="125">
        <f t="shared" si="40"/>
        <v>26486.4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IF(Valores!$C$99*B220&gt;Valores!$C$98,Valores!$C$98,Valores!$C$99*B220)</f>
        <v>80858.1</v>
      </c>
      <c r="AA220" s="125">
        <f>IF((Valores!$C$28)*B220&gt;Valores!$F$28,Valores!$F$28,(Valores!$C$28)*B220)</f>
        <v>2080.8</v>
      </c>
      <c r="AB220" s="214">
        <v>0</v>
      </c>
      <c r="AC220" s="125">
        <f t="shared" si="34"/>
        <v>0</v>
      </c>
      <c r="AD220" s="125">
        <f>IF(Valores!$C$29*B220&gt;Valores!$F$29,Valores!$F$29,Valores!$C$29*B220)</f>
        <v>1730.69</v>
      </c>
      <c r="AE220" s="192">
        <v>0</v>
      </c>
      <c r="AF220" s="125">
        <f>ROUND(AE220*Valores!$C$2,2)</f>
        <v>0</v>
      </c>
      <c r="AG220" s="125">
        <f>IF($F$4="NO",IF(Valores!$D$64*'Escala Docente'!B220&gt;Valores!$F$64,Valores!$F$64,Valores!$D$64*'Escala Docente'!B220),IF(Valores!$D$64*'Escala Docente'!B220&gt;Valores!$F$64,Valores!$F$64,Valores!$D$64*'Escala Docente'!B220)/2)+0.06</f>
        <v>39572.45999999999</v>
      </c>
      <c r="AH220" s="125">
        <f>SUM(F220,H220,J220,L220,M220,N220,O220,P220,Q220,R220,T220,U220,V220,X220,Y220,Z220,AA220,AC220,AD220,AF220,AG220)*Valores!$C$104</f>
        <v>64665.182</v>
      </c>
      <c r="AI220" s="125">
        <f t="shared" si="37"/>
        <v>711317.002</v>
      </c>
      <c r="AJ220" s="125">
        <f>IF(Valores!$C$33*B220&gt;Valores!$F$33,Valores!$F$33,Valores!$C$33*B220)</f>
        <v>69999.9999999999</v>
      </c>
      <c r="AK220" s="125">
        <v>0</v>
      </c>
      <c r="AL220" s="125">
        <f>IF(Valores!$C$92*B220&gt;Valores!$C$91,Valores!$C$91,Valores!$C$92*B220)</f>
        <v>0</v>
      </c>
      <c r="AM220" s="125">
        <f>IF(Valores!C$40*B220&gt;Valores!F$39,Valores!F$39,Valores!C$40*B220)</f>
        <v>0</v>
      </c>
      <c r="AN220" s="125">
        <f>IF($F$3="NO",0,IF(Valores!$C$62*B220&gt;Valores!$F$62,Valores!$F$62,Valores!$C$62*B220))</f>
        <v>0</v>
      </c>
      <c r="AO220" s="125">
        <f t="shared" si="35"/>
        <v>69999.9999999999</v>
      </c>
      <c r="AP220" s="125">
        <f>AI220*Valores!$C$72</f>
        <v>-78244.87022</v>
      </c>
      <c r="AQ220" s="125">
        <f>IF(AI220&lt;Valores!$E$73,-0.02,IF(AI220&lt;Valores!$F$73,-0.03,-0.04))*AI220</f>
        <v>-14226.34004</v>
      </c>
      <c r="AR220" s="125">
        <f>AI220*Valores!$C$75</f>
        <v>-39122.43511</v>
      </c>
      <c r="AS220" s="125">
        <f>Valores!$C$102</f>
        <v>-1270.16</v>
      </c>
      <c r="AT220" s="125">
        <f>IF($F$5=0,Valores!$C$103,(Valores!$C$103+$F$5*(Valores!$C$103)))</f>
        <v>-11714</v>
      </c>
      <c r="AU220" s="125">
        <f t="shared" si="38"/>
        <v>636739.1966299999</v>
      </c>
      <c r="AV220" s="125">
        <f t="shared" si="32"/>
        <v>-78244.87022</v>
      </c>
      <c r="AW220" s="125">
        <f t="shared" si="39"/>
        <v>-14226.34004</v>
      </c>
      <c r="AX220" s="125">
        <f>AI220*Valores!$C$76</f>
        <v>-19205.559053999998</v>
      </c>
      <c r="AY220" s="125">
        <f>AI220*Valores!$C$77</f>
        <v>-2133.951006</v>
      </c>
      <c r="AZ220" s="125">
        <f t="shared" si="36"/>
        <v>667506.2816799999</v>
      </c>
      <c r="BA220" s="125">
        <f>AI220*Valores!$C$79</f>
        <v>113810.72032</v>
      </c>
      <c r="BB220" s="125">
        <f>AI220*Valores!$C$80</f>
        <v>49792.190140000006</v>
      </c>
      <c r="BC220" s="125">
        <f>AI220*Valores!$C$81</f>
        <v>7113.17002</v>
      </c>
      <c r="BD220" s="125">
        <f>AI220*Valores!$C$83</f>
        <v>24896.095070000003</v>
      </c>
      <c r="BE220" s="125">
        <f>AI220*Valores!$C$85</f>
        <v>38411.118107999995</v>
      </c>
      <c r="BF220" s="125">
        <f>AI220*Valores!$C$84</f>
        <v>4267.902012</v>
      </c>
      <c r="BG220" s="126"/>
      <c r="BH220" s="126">
        <f t="shared" si="31"/>
        <v>30</v>
      </c>
      <c r="BI220" s="123" t="s">
        <v>4</v>
      </c>
    </row>
    <row r="221" spans="1:61" s="110" customFormat="1" ht="11.25" customHeight="1">
      <c r="A221" s="123" t="s">
        <v>465</v>
      </c>
      <c r="B221" s="123">
        <v>31</v>
      </c>
      <c r="C221" s="126">
        <v>214</v>
      </c>
      <c r="D221" s="124" t="str">
        <f t="shared" si="29"/>
        <v>Hora Cátedra Enseñanza Superior 31 hs</v>
      </c>
      <c r="E221" s="192">
        <f t="shared" si="30"/>
        <v>3069</v>
      </c>
      <c r="F221" s="125">
        <f>ROUND(E221*Valores!$C$2,2)</f>
        <v>254051.82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81814.81</v>
      </c>
      <c r="N221" s="125">
        <f t="shared" si="33"/>
        <v>0</v>
      </c>
      <c r="O221" s="125">
        <f>Valores!$C$7*B221</f>
        <v>87021.65000000001</v>
      </c>
      <c r="P221" s="125">
        <f>ROUND(IF(B221&lt;15,(Valores!$E$5*B221),Valores!$D$5),2)</f>
        <v>42317.14</v>
      </c>
      <c r="Q221" s="125">
        <v>0</v>
      </c>
      <c r="R221" s="125">
        <f>IF($F$4="NO",IF(Valores!$C$50*B221&gt;Valores!$F$47,Valores!$F$47,Valores!$C$50*B221),IF(Valores!$C$50*B221&gt;Valores!$F$47,Valores!$F$47,Valores!$C$50*B221)/2)</f>
        <v>45838.15</v>
      </c>
      <c r="S221" s="125">
        <f>Valores!$C$18*B221</f>
        <v>27369.28</v>
      </c>
      <c r="T221" s="125">
        <f t="shared" si="40"/>
        <v>27369.28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IF(Valores!$C$99*B221&gt;Valores!$C$98,Valores!$C$98,Valores!$C$99*B221)</f>
        <v>83553.37</v>
      </c>
      <c r="AA221" s="125">
        <f>IF((Valores!$C$28)*B221&gt;Valores!$F$28,Valores!$F$28,(Valores!$C$28)*B221)</f>
        <v>2150.16</v>
      </c>
      <c r="AB221" s="214">
        <v>0</v>
      </c>
      <c r="AC221" s="125">
        <f t="shared" si="34"/>
        <v>0</v>
      </c>
      <c r="AD221" s="125">
        <f>IF(Valores!$C$29*B221&gt;Valores!$F$29,Valores!$F$29,Valores!$C$29*B221)</f>
        <v>1730.69</v>
      </c>
      <c r="AE221" s="192">
        <v>0</v>
      </c>
      <c r="AF221" s="125">
        <f>ROUND(AE221*Valores!$C$2,2)</f>
        <v>0</v>
      </c>
      <c r="AG221" s="125">
        <f>IF($F$4="NO",IF(Valores!$D$64*'Escala Docente'!B221&gt;Valores!$F$64,Valores!$F$64,Valores!$D$64*'Escala Docente'!B221),IF(Valores!$D$64*'Escala Docente'!B221&gt;Valores!$F$64,Valores!$F$64,Valores!$D$64*'Escala Docente'!B221)/2)</f>
        <v>39572.54</v>
      </c>
      <c r="AH221" s="125">
        <f>SUM(F221,H221,J221,L221,M221,N221,O221,P221,Q221,R221,T221,U221,V221,X221,Y221,Z221,AA221,AC221,AD221,AF221,AG221)*Valores!$C$104</f>
        <v>66541.96100000001</v>
      </c>
      <c r="AI221" s="125">
        <f t="shared" si="37"/>
        <v>731961.5710000001</v>
      </c>
      <c r="AJ221" s="125">
        <f>IF(Valores!$C$33*B221&gt;Valores!$F$33,Valores!$F$33,Valores!$C$33*B221)</f>
        <v>70000</v>
      </c>
      <c r="AK221" s="125">
        <v>0</v>
      </c>
      <c r="AL221" s="125">
        <f>IF(Valores!$C$92*B221&gt;Valores!$C$91,Valores!$C$91,Valores!$C$92*B221)</f>
        <v>0</v>
      </c>
      <c r="AM221" s="125">
        <f>IF(Valores!C$40*B221&gt;Valores!F$39,Valores!F$39,Valores!C$40*B221)</f>
        <v>0</v>
      </c>
      <c r="AN221" s="125">
        <f>IF($F$3="NO",0,IF(Valores!$C$62*B221&gt;Valores!$F$62,Valores!$F$62,Valores!$C$62*B221))</f>
        <v>0</v>
      </c>
      <c r="AO221" s="125">
        <f t="shared" si="35"/>
        <v>70000</v>
      </c>
      <c r="AP221" s="125">
        <f>AI221*Valores!$C$72</f>
        <v>-80515.77281000001</v>
      </c>
      <c r="AQ221" s="125">
        <f>IF(AI221&lt;Valores!$E$73,-0.02,IF(AI221&lt;Valores!$F$73,-0.03,-0.04))*AI221</f>
        <v>-14639.231420000002</v>
      </c>
      <c r="AR221" s="125">
        <f>AI221*Valores!$C$75</f>
        <v>-40257.886405000005</v>
      </c>
      <c r="AS221" s="125">
        <f>Valores!$C$102</f>
        <v>-1270.16</v>
      </c>
      <c r="AT221" s="125">
        <f>IF($F$5=0,Valores!$C$103,(Valores!$C$103+$F$5*(Valores!$C$103)))</f>
        <v>-11714</v>
      </c>
      <c r="AU221" s="125">
        <f t="shared" si="38"/>
        <v>653564.5203650001</v>
      </c>
      <c r="AV221" s="125">
        <f t="shared" si="32"/>
        <v>-80515.77281000001</v>
      </c>
      <c r="AW221" s="125">
        <f t="shared" si="39"/>
        <v>-14639.231420000002</v>
      </c>
      <c r="AX221" s="125">
        <f>AI221*Valores!$C$76</f>
        <v>-19762.962417000002</v>
      </c>
      <c r="AY221" s="125">
        <f>AI221*Valores!$C$77</f>
        <v>-2195.8847130000004</v>
      </c>
      <c r="AZ221" s="125">
        <f t="shared" si="36"/>
        <v>684847.7196400001</v>
      </c>
      <c r="BA221" s="125">
        <f>AI221*Valores!$C$79</f>
        <v>117113.85136000002</v>
      </c>
      <c r="BB221" s="125">
        <f>AI221*Valores!$C$80</f>
        <v>51237.30997000001</v>
      </c>
      <c r="BC221" s="125">
        <f>AI221*Valores!$C$81</f>
        <v>7319.615710000001</v>
      </c>
      <c r="BD221" s="125">
        <f>AI221*Valores!$C$83</f>
        <v>25618.654985000005</v>
      </c>
      <c r="BE221" s="125">
        <f>AI221*Valores!$C$85</f>
        <v>39525.924834000005</v>
      </c>
      <c r="BF221" s="125">
        <f>AI221*Valores!$C$84</f>
        <v>4391.769426000001</v>
      </c>
      <c r="BG221" s="126"/>
      <c r="BH221" s="126">
        <f t="shared" si="31"/>
        <v>31</v>
      </c>
      <c r="BI221" s="123" t="s">
        <v>8</v>
      </c>
    </row>
    <row r="222" spans="1:61" s="110" customFormat="1" ht="11.25" customHeight="1">
      <c r="A222" s="123" t="s">
        <v>465</v>
      </c>
      <c r="B222" s="123">
        <v>32</v>
      </c>
      <c r="C222" s="126">
        <v>215</v>
      </c>
      <c r="D222" s="124" t="str">
        <f t="shared" si="29"/>
        <v>Hora Cátedra Enseñanza Superior 32 hs</v>
      </c>
      <c r="E222" s="192">
        <f t="shared" si="30"/>
        <v>3168</v>
      </c>
      <c r="F222" s="125">
        <f>ROUND(E222*Valores!$C$2,2)</f>
        <v>262247.04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84454</v>
      </c>
      <c r="N222" s="125">
        <f t="shared" si="33"/>
        <v>0</v>
      </c>
      <c r="O222" s="125">
        <f>Valores!$C$7*B222</f>
        <v>89828.8</v>
      </c>
      <c r="P222" s="125">
        <f>ROUND(IF(B222&lt;15,(Valores!$E$5*B222),Valores!$D$5),2)</f>
        <v>42317.14</v>
      </c>
      <c r="Q222" s="125">
        <v>0</v>
      </c>
      <c r="R222" s="125">
        <f>IF($F$4="NO",IF(Valores!$C$50*B222&gt;Valores!$F$47,Valores!$F$47,Valores!$C$50*B222),IF(Valores!$C$50*B222&gt;Valores!$F$47,Valores!$F$47,Valores!$C$50*B222)/2)</f>
        <v>47316.8</v>
      </c>
      <c r="S222" s="125">
        <f>Valores!$C$18*B222</f>
        <v>28252.16</v>
      </c>
      <c r="T222" s="125">
        <f t="shared" si="40"/>
        <v>28252.16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IF(Valores!$C$99*B222&gt;Valores!$C$98,Valores!$C$98,Valores!$C$99*B222)</f>
        <v>86248.64</v>
      </c>
      <c r="AA222" s="125">
        <f>IF((Valores!$C$28)*B222&gt;Valores!$F$28,Valores!$F$28,(Valores!$C$28)*B222)</f>
        <v>2219.52</v>
      </c>
      <c r="AB222" s="214">
        <v>0</v>
      </c>
      <c r="AC222" s="125">
        <f t="shared" si="34"/>
        <v>0</v>
      </c>
      <c r="AD222" s="125">
        <f>IF(Valores!$C$29*B222&gt;Valores!$F$29,Valores!$F$29,Valores!$C$29*B222)</f>
        <v>1730.69</v>
      </c>
      <c r="AE222" s="192">
        <v>0</v>
      </c>
      <c r="AF222" s="125">
        <f>ROUND(AE222*Valores!$C$2,2)</f>
        <v>0</v>
      </c>
      <c r="AG222" s="125">
        <f>IF($F$4="NO",IF(Valores!$D$64*'Escala Docente'!B222&gt;Valores!$F$64,Valores!$F$64,Valores!$D$64*'Escala Docente'!B222),IF(Valores!$D$64*'Escala Docente'!B222&gt;Valores!$F$64,Valores!$F$64,Valores!$D$64*'Escala Docente'!B222)/2)</f>
        <v>39572.54</v>
      </c>
      <c r="AH222" s="125">
        <f>SUM(F222,H222,J222,L222,M222,N222,O222,P222,Q222,R222,T222,U222,V222,X222,Y222,Z222,AA222,AC222,AD222,AF222,AG222)*Valores!$C$104</f>
        <v>68418.73300000001</v>
      </c>
      <c r="AI222" s="125">
        <f t="shared" si="37"/>
        <v>752606.0630000001</v>
      </c>
      <c r="AJ222" s="125">
        <f>IF(Valores!$C$33*B222&gt;Valores!$F$33,Valores!$F$33,Valores!$C$33*B222)</f>
        <v>70000</v>
      </c>
      <c r="AK222" s="125">
        <v>0</v>
      </c>
      <c r="AL222" s="125">
        <f>IF(Valores!$C$92*B222&gt;Valores!$C$91,Valores!$C$91,Valores!$C$92*B222)</f>
        <v>0</v>
      </c>
      <c r="AM222" s="125">
        <f>IF(Valores!C$40*B222&gt;Valores!F$39,Valores!F$39,Valores!C$40*B222)</f>
        <v>0</v>
      </c>
      <c r="AN222" s="125">
        <f>IF($F$3="NO",0,IF(Valores!$C$62*B222&gt;Valores!$F$62,Valores!$F$62,Valores!$C$62*B222))</f>
        <v>0</v>
      </c>
      <c r="AO222" s="125">
        <f t="shared" si="35"/>
        <v>70000</v>
      </c>
      <c r="AP222" s="125">
        <f>AI222*Valores!$C$72</f>
        <v>-82786.66693</v>
      </c>
      <c r="AQ222" s="125">
        <f>IF(AI222&lt;Valores!$E$73,-0.02,IF(AI222&lt;Valores!$F$73,-0.03,-0.04))*AI222</f>
        <v>-15052.121260000002</v>
      </c>
      <c r="AR222" s="125">
        <f>AI222*Valores!$C$75</f>
        <v>-41393.333465</v>
      </c>
      <c r="AS222" s="125">
        <f>Valores!$C$102</f>
        <v>-1270.16</v>
      </c>
      <c r="AT222" s="125">
        <f>IF($F$5=0,Valores!$C$103,(Valores!$C$103+$F$5*(Valores!$C$103)))</f>
        <v>-11714</v>
      </c>
      <c r="AU222" s="125">
        <f t="shared" si="38"/>
        <v>670389.781345</v>
      </c>
      <c r="AV222" s="125">
        <f t="shared" si="32"/>
        <v>-82786.66693</v>
      </c>
      <c r="AW222" s="125">
        <f t="shared" si="39"/>
        <v>-15052.121260000002</v>
      </c>
      <c r="AX222" s="125">
        <f>AI222*Valores!$C$76</f>
        <v>-20320.363701000002</v>
      </c>
      <c r="AY222" s="125">
        <f>AI222*Valores!$C$77</f>
        <v>-2257.818189</v>
      </c>
      <c r="AZ222" s="125">
        <f t="shared" si="36"/>
        <v>702189.0929200001</v>
      </c>
      <c r="BA222" s="125">
        <f>AI222*Valores!$C$79</f>
        <v>120416.97008000001</v>
      </c>
      <c r="BB222" s="125">
        <f>AI222*Valores!$C$80</f>
        <v>52682.424410000014</v>
      </c>
      <c r="BC222" s="125">
        <f>AI222*Valores!$C$81</f>
        <v>7526.060630000001</v>
      </c>
      <c r="BD222" s="125">
        <f>AI222*Valores!$C$83</f>
        <v>26341.212205000007</v>
      </c>
      <c r="BE222" s="125">
        <f>AI222*Valores!$C$85</f>
        <v>40640.727402000004</v>
      </c>
      <c r="BF222" s="125">
        <f>AI222*Valores!$C$84</f>
        <v>4515.636378</v>
      </c>
      <c r="BG222" s="126"/>
      <c r="BH222" s="126">
        <f t="shared" si="31"/>
        <v>32</v>
      </c>
      <c r="BI222" s="123" t="s">
        <v>8</v>
      </c>
    </row>
    <row r="223" spans="1:61" s="110" customFormat="1" ht="11.25" customHeight="1">
      <c r="A223" s="123" t="s">
        <v>465</v>
      </c>
      <c r="B223" s="123">
        <v>33</v>
      </c>
      <c r="C223" s="126">
        <v>216</v>
      </c>
      <c r="D223" s="124" t="str">
        <f t="shared" si="29"/>
        <v>Hora Cátedra Enseñanza Superior 33 hs</v>
      </c>
      <c r="E223" s="192">
        <f t="shared" si="30"/>
        <v>3267</v>
      </c>
      <c r="F223" s="125">
        <f>ROUND(E223*Valores!$C$2,2)</f>
        <v>270442.26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86936.79</v>
      </c>
      <c r="N223" s="125">
        <f t="shared" si="33"/>
        <v>0</v>
      </c>
      <c r="O223" s="125">
        <f>Valores!$C$7*B223</f>
        <v>92635.95</v>
      </c>
      <c r="P223" s="125">
        <f>ROUND(IF(B223&lt;15,(Valores!$E$5*B223),Valores!$D$5),2)</f>
        <v>42317.14</v>
      </c>
      <c r="Q223" s="125">
        <v>0</v>
      </c>
      <c r="R223" s="125">
        <f>IF($F$4="NO",IF(Valores!$C$50*B223&gt;Valores!$F$47,Valores!$F$47,Valores!$C$50*B223),IF(Valores!$C$50*B223&gt;Valores!$F$47,Valores!$F$47,Valores!$C$50*B223)/2)</f>
        <v>48169.84</v>
      </c>
      <c r="S223" s="125">
        <f>Valores!$C$18*B223</f>
        <v>29135.04</v>
      </c>
      <c r="T223" s="125">
        <f t="shared" si="40"/>
        <v>29135.04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IF(Valores!$C$99*B223&gt;Valores!$C$98,Valores!$C$98,Valores!$C$99*B223)</f>
        <v>88943.91</v>
      </c>
      <c r="AA223" s="125">
        <f>IF((Valores!$C$28)*B223&gt;Valores!$F$28,Valores!$F$28,(Valores!$C$28)*B223)</f>
        <v>2288.88</v>
      </c>
      <c r="AB223" s="214">
        <v>0</v>
      </c>
      <c r="AC223" s="125">
        <f t="shared" si="34"/>
        <v>0</v>
      </c>
      <c r="AD223" s="125">
        <f>IF(Valores!$C$29*B223&gt;Valores!$F$29,Valores!$F$29,Valores!$C$29*B223)</f>
        <v>1730.69</v>
      </c>
      <c r="AE223" s="192">
        <v>0</v>
      </c>
      <c r="AF223" s="125">
        <f>ROUND(AE223*Valores!$C$2,2)</f>
        <v>0</v>
      </c>
      <c r="AG223" s="125">
        <f>IF($F$4="NO",IF(Valores!$D$64*'Escala Docente'!B223&gt;Valores!$F$64,Valores!$F$64,Valores!$D$64*'Escala Docente'!B223),IF(Valores!$D$64*'Escala Docente'!B223&gt;Valores!$F$64,Valores!$F$64,Valores!$D$64*'Escala Docente'!B223)/2)</f>
        <v>39572.54</v>
      </c>
      <c r="AH223" s="125">
        <f>SUM(F223,H223,J223,L223,M223,N223,O223,P223,Q223,R223,T223,U223,V223,X223,Y223,Z223,AA223,AC223,AD223,AF223,AG223)*Valores!$C$104</f>
        <v>70217.304</v>
      </c>
      <c r="AI223" s="125">
        <f t="shared" si="37"/>
        <v>772390.344</v>
      </c>
      <c r="AJ223" s="125">
        <f>IF(Valores!$C$33*B223&gt;Valores!$F$33,Valores!$F$33,Valores!$C$33*B223)</f>
        <v>70000</v>
      </c>
      <c r="AK223" s="125">
        <v>0</v>
      </c>
      <c r="AL223" s="125">
        <f>IF(Valores!$C$92*B223&gt;Valores!$C$91,Valores!$C$91,Valores!$C$92*B223)</f>
        <v>0</v>
      </c>
      <c r="AM223" s="125">
        <f>IF(Valores!C$40*B223&gt;Valores!F$39,Valores!F$39,Valores!C$40*B223)</f>
        <v>0</v>
      </c>
      <c r="AN223" s="125">
        <f>IF($F$3="NO",0,IF(Valores!$C$62*B223&gt;Valores!$F$62,Valores!$F$62,Valores!$C$62*B223))</f>
        <v>0</v>
      </c>
      <c r="AO223" s="125">
        <f t="shared" si="35"/>
        <v>70000</v>
      </c>
      <c r="AP223" s="125">
        <f>AI223*Valores!$C$72</f>
        <v>-84962.93784</v>
      </c>
      <c r="AQ223" s="125">
        <f>IF(AI223&lt;Valores!$E$73,-0.02,IF(AI223&lt;Valores!$F$73,-0.03,-0.04))*AI223</f>
        <v>-23171.710320000002</v>
      </c>
      <c r="AR223" s="125">
        <f>AI223*Valores!$C$75</f>
        <v>-42481.46892</v>
      </c>
      <c r="AS223" s="125">
        <f>Valores!$C$102</f>
        <v>-1270.16</v>
      </c>
      <c r="AT223" s="125">
        <f>IF($F$5=0,Valores!$C$103,(Valores!$C$103+$F$5*(Valores!$C$103)))</f>
        <v>-11714</v>
      </c>
      <c r="AU223" s="125">
        <f t="shared" si="38"/>
        <v>678790.06692</v>
      </c>
      <c r="AV223" s="125">
        <f t="shared" si="32"/>
        <v>-84962.93784</v>
      </c>
      <c r="AW223" s="125">
        <f t="shared" si="39"/>
        <v>-23171.710320000002</v>
      </c>
      <c r="AX223" s="125">
        <f>AI223*Valores!$C$76</f>
        <v>-20854.539288</v>
      </c>
      <c r="AY223" s="125">
        <f>AI223*Valores!$C$77</f>
        <v>-2317.171032</v>
      </c>
      <c r="AZ223" s="125">
        <f t="shared" si="36"/>
        <v>711083.9855200001</v>
      </c>
      <c r="BA223" s="125">
        <f>AI223*Valores!$C$79</f>
        <v>123582.45504000002</v>
      </c>
      <c r="BB223" s="125">
        <f>AI223*Valores!$C$80</f>
        <v>54067.324080000006</v>
      </c>
      <c r="BC223" s="125">
        <f>AI223*Valores!$C$81</f>
        <v>7723.903440000001</v>
      </c>
      <c r="BD223" s="125">
        <f>AI223*Valores!$C$83</f>
        <v>27033.662040000003</v>
      </c>
      <c r="BE223" s="125">
        <f>AI223*Valores!$C$85</f>
        <v>41709.078576</v>
      </c>
      <c r="BF223" s="125">
        <f>AI223*Valores!$C$84</f>
        <v>4634.342064</v>
      </c>
      <c r="BG223" s="126"/>
      <c r="BH223" s="126">
        <f aca="true" t="shared" si="41" ref="BH223:BH254">1*B223</f>
        <v>33</v>
      </c>
      <c r="BI223" s="123" t="s">
        <v>8</v>
      </c>
    </row>
    <row r="224" spans="1:61" s="110" customFormat="1" ht="11.25" customHeight="1">
      <c r="A224" s="123" t="s">
        <v>465</v>
      </c>
      <c r="B224" s="123">
        <v>34</v>
      </c>
      <c r="C224" s="126">
        <v>217</v>
      </c>
      <c r="D224" s="124" t="str">
        <f t="shared" si="29"/>
        <v>Hora Cátedra Enseñanza Superior 34 hs</v>
      </c>
      <c r="E224" s="192">
        <f t="shared" si="30"/>
        <v>3366</v>
      </c>
      <c r="F224" s="125">
        <f>ROUND(E224*Valores!$C$2,2)</f>
        <v>278637.48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89206.31</v>
      </c>
      <c r="N224" s="125">
        <f t="shared" si="33"/>
        <v>0</v>
      </c>
      <c r="O224" s="125">
        <f>Valores!$C$7*B224</f>
        <v>95443.1</v>
      </c>
      <c r="P224" s="125">
        <f>ROUND(IF(B224&lt;15,(Valores!$E$5*B224),Valores!$D$5),2)</f>
        <v>42317.14</v>
      </c>
      <c r="Q224" s="125">
        <v>0</v>
      </c>
      <c r="R224" s="125">
        <f>IF($F$4="NO",IF(Valores!$C$50*B224&gt;Valores!$F$47,Valores!$F$47,Valores!$C$50*B224),IF(Valores!$C$50*B224&gt;Valores!$F$47,Valores!$F$47,Valores!$C$50*B224)/2)</f>
        <v>48169.84</v>
      </c>
      <c r="S224" s="125">
        <f>Valores!$C$18*B224</f>
        <v>30017.92</v>
      </c>
      <c r="T224" s="125">
        <f t="shared" si="40"/>
        <v>30017.92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IF(Valores!$C$99*B224&gt;Valores!$C$98,Valores!$C$98,Valores!$C$99*B224)</f>
        <v>91639.18</v>
      </c>
      <c r="AA224" s="125">
        <f>IF((Valores!$C$28)*B224&gt;Valores!$F$28,Valores!$F$28,(Valores!$C$28)*B224)</f>
        <v>2358.24</v>
      </c>
      <c r="AB224" s="214">
        <v>0</v>
      </c>
      <c r="AC224" s="125">
        <f t="shared" si="34"/>
        <v>0</v>
      </c>
      <c r="AD224" s="125">
        <f>IF(Valores!$C$29*B224&gt;Valores!$F$29,Valores!$F$29,Valores!$C$29*B224)</f>
        <v>1730.69</v>
      </c>
      <c r="AE224" s="192">
        <v>0</v>
      </c>
      <c r="AF224" s="125">
        <f>ROUND(AE224*Valores!$C$2,2)</f>
        <v>0</v>
      </c>
      <c r="AG224" s="125">
        <f>IF($F$4="NO",IF(Valores!$D$64*'Escala Docente'!B224&gt;Valores!$F$64,Valores!$F$64,Valores!$D$64*'Escala Docente'!B224),IF(Valores!$D$64*'Escala Docente'!B224&gt;Valores!$F$64,Valores!$F$64,Valores!$D$64*'Escala Docente'!B224)/2)</f>
        <v>39572.54</v>
      </c>
      <c r="AH224" s="125">
        <f>SUM(F224,H224,J224,L224,M224,N224,O224,P224,Q224,R224,T224,U224,V224,X224,Y224,Z224,AA224,AC224,AD224,AF224,AG224)*Valores!$C$104</f>
        <v>71909.24399999999</v>
      </c>
      <c r="AI224" s="125">
        <f t="shared" si="37"/>
        <v>791001.6839999999</v>
      </c>
      <c r="AJ224" s="125">
        <f>IF(Valores!$C$33*B224&gt;Valores!$F$33,Valores!$F$33,Valores!$C$33*B224)</f>
        <v>70000</v>
      </c>
      <c r="AK224" s="125">
        <v>0</v>
      </c>
      <c r="AL224" s="125">
        <f>IF(Valores!$C$92*B224&gt;Valores!$C$91,Valores!$C$91,Valores!$C$92*B224)</f>
        <v>0</v>
      </c>
      <c r="AM224" s="125">
        <f>IF(Valores!C$40*B224&gt;Valores!F$39,Valores!F$39,Valores!C$40*B224)</f>
        <v>0</v>
      </c>
      <c r="AN224" s="125">
        <f>IF($F$3="NO",0,IF(Valores!$C$62*B224&gt;Valores!$F$62,Valores!$F$62,Valores!$C$62*B224))</f>
        <v>0</v>
      </c>
      <c r="AO224" s="125">
        <f t="shared" si="35"/>
        <v>70000</v>
      </c>
      <c r="AP224" s="125">
        <f>AI224*Valores!$C$72</f>
        <v>-87010.18523999999</v>
      </c>
      <c r="AQ224" s="125">
        <f>IF(AI224&lt;Valores!$E$73,-0.02,IF(AI224&lt;Valores!$F$73,-0.03,-0.04))*AI224</f>
        <v>-23730.050519999997</v>
      </c>
      <c r="AR224" s="125">
        <f>AI224*Valores!$C$75</f>
        <v>-43505.092619999996</v>
      </c>
      <c r="AS224" s="125">
        <f>Valores!$C$102</f>
        <v>-1270.16</v>
      </c>
      <c r="AT224" s="125">
        <f>IF($F$5=0,Valores!$C$103,(Valores!$C$103+$F$5*(Valores!$C$103)))</f>
        <v>-11714</v>
      </c>
      <c r="AU224" s="125">
        <f t="shared" si="38"/>
        <v>693772.1956199999</v>
      </c>
      <c r="AV224" s="125">
        <f t="shared" si="32"/>
        <v>-87010.18523999999</v>
      </c>
      <c r="AW224" s="125">
        <f t="shared" si="39"/>
        <v>-23730.050519999997</v>
      </c>
      <c r="AX224" s="125">
        <f>AI224*Valores!$C$76</f>
        <v>-21357.045467999997</v>
      </c>
      <c r="AY224" s="125">
        <f>AI224*Valores!$C$77</f>
        <v>-2373.0050519999995</v>
      </c>
      <c r="AZ224" s="125">
        <f t="shared" si="36"/>
        <v>726531.3977199999</v>
      </c>
      <c r="BA224" s="125">
        <f>AI224*Valores!$C$79</f>
        <v>126560.26943999999</v>
      </c>
      <c r="BB224" s="125">
        <f>AI224*Valores!$C$80</f>
        <v>55370.11788</v>
      </c>
      <c r="BC224" s="125">
        <f>AI224*Valores!$C$81</f>
        <v>7910.016839999999</v>
      </c>
      <c r="BD224" s="125">
        <f>AI224*Valores!$C$83</f>
        <v>27685.05894</v>
      </c>
      <c r="BE224" s="125">
        <f>AI224*Valores!$C$85</f>
        <v>42714.09093599999</v>
      </c>
      <c r="BF224" s="125">
        <f>AI224*Valores!$C$84</f>
        <v>4746.010103999999</v>
      </c>
      <c r="BG224" s="126"/>
      <c r="BH224" s="126">
        <f t="shared" si="41"/>
        <v>34</v>
      </c>
      <c r="BI224" s="123" t="s">
        <v>8</v>
      </c>
    </row>
    <row r="225" spans="1:61" s="110" customFormat="1" ht="11.25" customHeight="1">
      <c r="A225" s="123" t="s">
        <v>465</v>
      </c>
      <c r="B225" s="123">
        <v>35</v>
      </c>
      <c r="C225" s="126">
        <v>218</v>
      </c>
      <c r="D225" s="124" t="str">
        <f t="shared" si="29"/>
        <v>Hora Cátedra Enseñanza Superior 35 hs</v>
      </c>
      <c r="E225" s="192">
        <f t="shared" si="30"/>
        <v>3465</v>
      </c>
      <c r="F225" s="125">
        <f>ROUND(E225*Valores!$C$2,2)</f>
        <v>286832.7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91475.84</v>
      </c>
      <c r="N225" s="125">
        <f t="shared" si="33"/>
        <v>0</v>
      </c>
      <c r="O225" s="125">
        <f>Valores!$C$7*B225</f>
        <v>98250.25</v>
      </c>
      <c r="P225" s="125">
        <f>ROUND(IF(B225&lt;15,(Valores!$E$5*B225),Valores!$D$5),2)</f>
        <v>42317.14</v>
      </c>
      <c r="Q225" s="125">
        <v>0</v>
      </c>
      <c r="R225" s="125">
        <f>IF($F$4="NO",IF(Valores!$C$50*B225&gt;Valores!$F$47,Valores!$F$47,Valores!$C$50*B225),IF(Valores!$C$50*B225&gt;Valores!$F$47,Valores!$F$47,Valores!$C$50*B225)/2)</f>
        <v>48169.84</v>
      </c>
      <c r="S225" s="125">
        <f>Valores!$C$18*B225</f>
        <v>30900.8</v>
      </c>
      <c r="T225" s="125">
        <f t="shared" si="40"/>
        <v>30900.8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IF(Valores!$C$99*B225&gt;Valores!$C$98,Valores!$C$98,Valores!$C$99*B225)</f>
        <v>94334.45</v>
      </c>
      <c r="AA225" s="125">
        <f>IF((Valores!$C$28)*B225&gt;Valores!$F$28,Valores!$F$28,(Valores!$C$28)*B225)</f>
        <v>2427.6</v>
      </c>
      <c r="AB225" s="214">
        <v>0</v>
      </c>
      <c r="AC225" s="125">
        <f t="shared" si="34"/>
        <v>0</v>
      </c>
      <c r="AD225" s="125">
        <f>IF(Valores!$C$29*B225&gt;Valores!$F$29,Valores!$F$29,Valores!$C$29*B225)</f>
        <v>1730.69</v>
      </c>
      <c r="AE225" s="192">
        <v>0</v>
      </c>
      <c r="AF225" s="125">
        <f>ROUND(AE225*Valores!$C$2,2)</f>
        <v>0</v>
      </c>
      <c r="AG225" s="125">
        <f>IF($F$4="NO",IF(Valores!$D$64*'Escala Docente'!B225&gt;Valores!$F$64,Valores!$F$64,Valores!$D$64*'Escala Docente'!B225),IF(Valores!$D$64*'Escala Docente'!B225&gt;Valores!$F$64,Valores!$F$64,Valores!$D$64*'Escala Docente'!B225)/2)</f>
        <v>39572.54</v>
      </c>
      <c r="AH225" s="125">
        <f>SUM(F225,H225,J225,L225,M225,N225,O225,P225,Q225,R225,T225,U225,V225,X225,Y225,Z225,AA225,AC225,AD225,AF225,AG225)*Valores!$C$104</f>
        <v>73601.185</v>
      </c>
      <c r="AI225" s="125">
        <f t="shared" si="37"/>
        <v>809613.0349999999</v>
      </c>
      <c r="AJ225" s="125">
        <f>IF(Valores!$C$33*B225&gt;Valores!$F$33,Valores!$F$33,Valores!$C$33*B225)</f>
        <v>70000</v>
      </c>
      <c r="AK225" s="125">
        <v>0</v>
      </c>
      <c r="AL225" s="125">
        <f>IF(Valores!$C$92*B225&gt;Valores!$C$91,Valores!$C$91,Valores!$C$92*B225)</f>
        <v>0</v>
      </c>
      <c r="AM225" s="125">
        <f>IF(Valores!C$40*B225&gt;Valores!F$39,Valores!F$39,Valores!C$40*B225)</f>
        <v>0</v>
      </c>
      <c r="AN225" s="125">
        <f>IF($F$3="NO",0,IF(Valores!$C$62*B225&gt;Valores!$F$62,Valores!$F$62,Valores!$C$62*B225))</f>
        <v>0</v>
      </c>
      <c r="AO225" s="125">
        <f t="shared" si="35"/>
        <v>70000</v>
      </c>
      <c r="AP225" s="125">
        <f>AI225*Valores!$C$72</f>
        <v>-89057.43384999999</v>
      </c>
      <c r="AQ225" s="125">
        <f>IF(AI225&lt;Valores!$E$73,-0.02,IF(AI225&lt;Valores!$F$73,-0.03,-0.04))*AI225</f>
        <v>-24288.39105</v>
      </c>
      <c r="AR225" s="125">
        <f>AI225*Valores!$C$75</f>
        <v>-44528.71692499999</v>
      </c>
      <c r="AS225" s="125">
        <f>Valores!$C$102</f>
        <v>-1270.16</v>
      </c>
      <c r="AT225" s="125">
        <f>IF($F$5=0,Valores!$C$103,(Valores!$C$103+$F$5*(Valores!$C$103)))</f>
        <v>-11714</v>
      </c>
      <c r="AU225" s="125">
        <f t="shared" si="38"/>
        <v>708754.3331749999</v>
      </c>
      <c r="AV225" s="125">
        <f t="shared" si="32"/>
        <v>-89057.43384999999</v>
      </c>
      <c r="AW225" s="125">
        <f t="shared" si="39"/>
        <v>-24288.39105</v>
      </c>
      <c r="AX225" s="125">
        <f>AI225*Valores!$C$76</f>
        <v>-21859.551945</v>
      </c>
      <c r="AY225" s="125">
        <f>AI225*Valores!$C$77</f>
        <v>-2428.839105</v>
      </c>
      <c r="AZ225" s="125">
        <f t="shared" si="36"/>
        <v>741978.8190499999</v>
      </c>
      <c r="BA225" s="125">
        <f>AI225*Valores!$C$79</f>
        <v>129538.08559999999</v>
      </c>
      <c r="BB225" s="125">
        <f>AI225*Valores!$C$80</f>
        <v>56672.912449999996</v>
      </c>
      <c r="BC225" s="125">
        <f>AI225*Valores!$C$81</f>
        <v>8096.130349999999</v>
      </c>
      <c r="BD225" s="125">
        <f>AI225*Valores!$C$83</f>
        <v>28336.456224999998</v>
      </c>
      <c r="BE225" s="125">
        <f>AI225*Valores!$C$85</f>
        <v>43719.10389</v>
      </c>
      <c r="BF225" s="125">
        <f>AI225*Valores!$C$84</f>
        <v>4857.67821</v>
      </c>
      <c r="BG225" s="126"/>
      <c r="BH225" s="126">
        <f t="shared" si="41"/>
        <v>35</v>
      </c>
      <c r="BI225" s="123" t="s">
        <v>8</v>
      </c>
    </row>
    <row r="226" spans="1:61" s="110" customFormat="1" ht="11.25" customHeight="1">
      <c r="A226" s="123" t="s">
        <v>465</v>
      </c>
      <c r="B226" s="123">
        <v>36</v>
      </c>
      <c r="C226" s="126">
        <v>219</v>
      </c>
      <c r="D226" s="124" t="str">
        <f t="shared" si="29"/>
        <v>Hora Cátedra Enseñanza Superior 36 hs</v>
      </c>
      <c r="E226" s="192">
        <f t="shared" si="30"/>
        <v>3564</v>
      </c>
      <c r="F226" s="125">
        <f>ROUND(E226*Valores!$C$2,2)</f>
        <v>295027.92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93745.36</v>
      </c>
      <c r="N226" s="125">
        <f t="shared" si="33"/>
        <v>0</v>
      </c>
      <c r="O226" s="125">
        <f>Valores!$C$7*B226</f>
        <v>101057.40000000001</v>
      </c>
      <c r="P226" s="125">
        <f>ROUND(IF(B226&lt;15,(Valores!$E$5*B226),Valores!$D$5),2)</f>
        <v>42317.14</v>
      </c>
      <c r="Q226" s="125">
        <v>0</v>
      </c>
      <c r="R226" s="125">
        <f>IF($F$4="NO",IF(Valores!$C$50*B226&gt;Valores!$F$47,Valores!$F$47,Valores!$C$50*B226),IF(Valores!$C$50*B226&gt;Valores!$F$47,Valores!$F$47,Valores!$C$50*B226)/2)</f>
        <v>48169.84</v>
      </c>
      <c r="S226" s="125">
        <f>Valores!$C$18*B226</f>
        <v>31783.68</v>
      </c>
      <c r="T226" s="125">
        <f t="shared" si="40"/>
        <v>31783.68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IF(Valores!$C$99*B226&gt;Valores!$C$98,Valores!$C$98,Valores!$C$99*B226)</f>
        <v>97029.72</v>
      </c>
      <c r="AA226" s="125">
        <f>IF((Valores!$C$28)*B226&gt;Valores!$F$28,Valores!$F$28,(Valores!$C$28)*B226)</f>
        <v>2434.81</v>
      </c>
      <c r="AB226" s="214">
        <v>0</v>
      </c>
      <c r="AC226" s="125">
        <f t="shared" si="34"/>
        <v>0</v>
      </c>
      <c r="AD226" s="125">
        <f>IF(Valores!$C$29*B226&gt;Valores!$F$29,Valores!$F$29,Valores!$C$29*B226)</f>
        <v>1730.69</v>
      </c>
      <c r="AE226" s="192">
        <v>0</v>
      </c>
      <c r="AF226" s="125">
        <f>ROUND(AE226*Valores!$C$2,2)</f>
        <v>0</v>
      </c>
      <c r="AG226" s="125">
        <f>IF($F$4="NO",IF(Valores!$D$64*'Escala Docente'!B226&gt;Valores!$F$64,Valores!$F$64,Valores!$D$64*'Escala Docente'!B226),IF(Valores!$D$64*'Escala Docente'!B226&gt;Valores!$F$64,Valores!$F$64,Valores!$D$64*'Escala Docente'!B226)/2)</f>
        <v>39572.54</v>
      </c>
      <c r="AH226" s="125">
        <f>SUM(F226,H226,J226,L226,M226,N226,O226,P226,Q226,R226,T226,U226,V226,X226,Y226,Z226,AA226,AC226,AD226,AF226,AG226)*Valores!$C$104</f>
        <v>75286.91</v>
      </c>
      <c r="AI226" s="125">
        <f t="shared" si="37"/>
        <v>828156.01</v>
      </c>
      <c r="AJ226" s="125">
        <f>IF(Valores!$C$33*B226&gt;Valores!$F$33,Valores!$F$33,Valores!$C$33*B226)</f>
        <v>70000</v>
      </c>
      <c r="AK226" s="125">
        <v>0</v>
      </c>
      <c r="AL226" s="125">
        <f>IF(Valores!$C$92*B226&gt;Valores!$C$91,Valores!$C$91,Valores!$C$92*B226)</f>
        <v>0</v>
      </c>
      <c r="AM226" s="125">
        <f>IF(Valores!C$40*B226&gt;Valores!F$39,Valores!F$39,Valores!C$40*B226)</f>
        <v>0</v>
      </c>
      <c r="AN226" s="125">
        <f>IF($F$3="NO",0,IF(Valores!$C$62*B226&gt;Valores!$F$62,Valores!$F$62,Valores!$C$62*B226))</f>
        <v>0</v>
      </c>
      <c r="AO226" s="125">
        <f t="shared" si="35"/>
        <v>70000</v>
      </c>
      <c r="AP226" s="125">
        <f>AI226*Valores!$C$72</f>
        <v>-91097.1611</v>
      </c>
      <c r="AQ226" s="125">
        <f>IF(AI226&lt;Valores!$E$73,-0.02,IF(AI226&lt;Valores!$F$73,-0.03,-0.04))*AI226</f>
        <v>-24844.6803</v>
      </c>
      <c r="AR226" s="125">
        <f>AI226*Valores!$C$75</f>
        <v>-45548.58055</v>
      </c>
      <c r="AS226" s="125">
        <f>Valores!$C$102</f>
        <v>-1270.16</v>
      </c>
      <c r="AT226" s="125">
        <f>IF($F$5=0,Valores!$C$103,(Valores!$C$103+$F$5*(Valores!$C$103)))</f>
        <v>-11714</v>
      </c>
      <c r="AU226" s="125">
        <f t="shared" si="38"/>
        <v>723681.42805</v>
      </c>
      <c r="AV226" s="125">
        <f t="shared" si="32"/>
        <v>-91097.1611</v>
      </c>
      <c r="AW226" s="125">
        <f t="shared" si="39"/>
        <v>-24844.6803</v>
      </c>
      <c r="AX226" s="125">
        <f>AI226*Valores!$C$76</f>
        <v>-22360.21227</v>
      </c>
      <c r="AY226" s="125">
        <f>AI226*Valores!$C$77</f>
        <v>-2484.46803</v>
      </c>
      <c r="AZ226" s="125">
        <f t="shared" si="36"/>
        <v>757369.4883000001</v>
      </c>
      <c r="BA226" s="125">
        <f>AI226*Valores!$C$79</f>
        <v>132504.9616</v>
      </c>
      <c r="BB226" s="125">
        <f>AI226*Valores!$C$80</f>
        <v>57970.92070000001</v>
      </c>
      <c r="BC226" s="125">
        <f>AI226*Valores!$C$81</f>
        <v>8281.5601</v>
      </c>
      <c r="BD226" s="125">
        <f>AI226*Valores!$C$83</f>
        <v>28985.460350000005</v>
      </c>
      <c r="BE226" s="125">
        <f>AI226*Valores!$C$85</f>
        <v>44720.42454</v>
      </c>
      <c r="BF226" s="125">
        <f>AI226*Valores!$C$84</f>
        <v>4968.93606</v>
      </c>
      <c r="BG226" s="126"/>
      <c r="BH226" s="126">
        <f t="shared" si="41"/>
        <v>36</v>
      </c>
      <c r="BI226" s="123" t="s">
        <v>8</v>
      </c>
    </row>
    <row r="227" spans="1:61" s="110" customFormat="1" ht="11.25" customHeight="1">
      <c r="A227" s="123" t="s">
        <v>466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42" ref="E227:E258">79*B227</f>
        <v>79</v>
      </c>
      <c r="F227" s="125">
        <f>ROUND(E227*Valores!$C$2,2)</f>
        <v>6539.62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2225.29</v>
      </c>
      <c r="N227" s="125">
        <f t="shared" si="33"/>
        <v>0</v>
      </c>
      <c r="O227" s="125">
        <f>Valores!$C$7*B227</f>
        <v>2807.15</v>
      </c>
      <c r="P227" s="125">
        <f>ROUND(IF(B227&lt;15,(Valores!$E$5*B227),Valores!$D$5),2)</f>
        <v>2821.14</v>
      </c>
      <c r="Q227" s="125">
        <v>0</v>
      </c>
      <c r="R227" s="125">
        <f>IF($F$4="NO",IF(Valores!$C$50*B227&gt;Valores!$F$47,Valores!$F$47,Valores!$C$50*B227),IF(Valores!$C$50*B227&gt;Valores!$F$47,Valores!$F$47,Valores!$C$50*B227)/2)</f>
        <v>1478.65</v>
      </c>
      <c r="S227" s="125">
        <f>Valores!$C$18*B227</f>
        <v>882.88</v>
      </c>
      <c r="T227" s="125">
        <f t="shared" si="40"/>
        <v>882.88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IF(Valores!$C$99*B227&gt;Valores!$C$98,Valores!$C$98,Valores!$C$99*B227)</f>
        <v>2695.27</v>
      </c>
      <c r="AA227" s="125">
        <f>IF((Valores!$C$28)*B227&gt;Valores!$F$28,Valores!$F$28,(Valores!$C$28)*B227)</f>
        <v>69.36</v>
      </c>
      <c r="AB227" s="214">
        <v>0</v>
      </c>
      <c r="AC227" s="125">
        <f t="shared" si="34"/>
        <v>0</v>
      </c>
      <c r="AD227" s="125">
        <f>IF(Valores!$C$29*B227&gt;Valores!$F$29,Valores!$F$29,Valores!$C$29*B227)</f>
        <v>57.76</v>
      </c>
      <c r="AE227" s="192">
        <v>0</v>
      </c>
      <c r="AF227" s="125">
        <f>ROUND(AE227*Valores!$C$2,2)</f>
        <v>0</v>
      </c>
      <c r="AG227" s="125">
        <f>IF($F$4="NO",IF(Valores!$D$64*'Escala Docente'!B227&gt;Valores!$F$64,Valores!$F$64,Valores!$D$64*'Escala Docente'!B227),IF(Valores!$D$64*'Escala Docente'!B227&gt;Valores!$F$64,Valores!$F$64,Valores!$D$64*'Escala Docente'!B227)/2)</f>
        <v>1319.08</v>
      </c>
      <c r="AH227" s="125">
        <f>SUM(F227,H227,J227,L227,M227,N227,O227,P227,Q227,R227,T227,U227,V227,X227,Y227,Z227,AA227,AC227,AD227,AF227,AG227)*Valores!$C$104</f>
        <v>2089.62</v>
      </c>
      <c r="AI227" s="125">
        <f t="shared" si="37"/>
        <v>22985.819999999996</v>
      </c>
      <c r="AJ227" s="125">
        <f>IF(Valores!$C$33*B227&gt;Valores!$F$33,Valores!$F$33,Valores!$C$33*B227)</f>
        <v>2333.33333333333</v>
      </c>
      <c r="AK227" s="125">
        <v>0</v>
      </c>
      <c r="AL227" s="125">
        <f>IF(Valores!$C$92*B227&gt;Valores!$C$91,Valores!$C$91,Valores!$C$92*B227)</f>
        <v>0</v>
      </c>
      <c r="AM227" s="125">
        <f>IF(Valores!C$40*B227&gt;Valores!F$39,Valores!F$39,Valores!C$40*B227)</f>
        <v>0</v>
      </c>
      <c r="AN227" s="125">
        <f>IF($F$3="NO",0,IF(Valores!$C$63*B227&gt;Valores!$F$63,Valores!$F$63,Valores!$C$63*B227))</f>
        <v>0</v>
      </c>
      <c r="AO227" s="125">
        <f t="shared" si="35"/>
        <v>2333.33333333333</v>
      </c>
      <c r="AP227" s="125">
        <f>AI227*Valores!$C$72</f>
        <v>-2528.4401999999995</v>
      </c>
      <c r="AQ227" s="125">
        <f>IF(AI227&lt;Valores!$E$73,-0.02,IF(AI227&lt;Valores!$F$73,-0.03,-0.04))*AI227</f>
        <v>-459.7163999999999</v>
      </c>
      <c r="AR227" s="125">
        <f>AI227*Valores!$C$75</f>
        <v>-1264.2200999999998</v>
      </c>
      <c r="AS227" s="125">
        <f>Valores!$C$102</f>
        <v>-1270.16</v>
      </c>
      <c r="AT227" s="125">
        <f>IF($F$5=0,Valores!$C$103,(Valores!$C$103+$F$5*(Valores!$C$103)))</f>
        <v>-11714</v>
      </c>
      <c r="AU227" s="125">
        <f t="shared" si="38"/>
        <v>8082.616633333328</v>
      </c>
      <c r="AV227" s="125">
        <f t="shared" si="32"/>
        <v>-2528.4401999999995</v>
      </c>
      <c r="AW227" s="125">
        <f t="shared" si="39"/>
        <v>-459.7163999999999</v>
      </c>
      <c r="AX227" s="125">
        <f>AI227*Valores!$C$76</f>
        <v>-620.6171399999998</v>
      </c>
      <c r="AY227" s="125">
        <f>AI227*Valores!$C$77</f>
        <v>-68.95745999999998</v>
      </c>
      <c r="AZ227" s="125">
        <f t="shared" si="36"/>
        <v>21641.422133333326</v>
      </c>
      <c r="BA227" s="125">
        <f>AI227*Valores!$C$79</f>
        <v>3677.7311999999993</v>
      </c>
      <c r="BB227" s="125">
        <f>AI227*Valores!$C$80</f>
        <v>1609.0074</v>
      </c>
      <c r="BC227" s="125">
        <f>AI227*Valores!$C$81</f>
        <v>229.85819999999995</v>
      </c>
      <c r="BD227" s="125">
        <f>AI227*Valores!$C$83</f>
        <v>804.5037</v>
      </c>
      <c r="BE227" s="125">
        <f>AI227*Valores!$C$85</f>
        <v>1241.2342799999997</v>
      </c>
      <c r="BF227" s="125">
        <f>AI227*Valores!$C$84</f>
        <v>137.91491999999997</v>
      </c>
      <c r="BG227" s="126"/>
      <c r="BH227" s="126">
        <f t="shared" si="41"/>
        <v>1</v>
      </c>
      <c r="BI227" s="123" t="s">
        <v>4</v>
      </c>
    </row>
    <row r="228" spans="1:61" s="110" customFormat="1" ht="11.25" customHeight="1">
      <c r="A228" s="123" t="s">
        <v>466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42"/>
        <v>79</v>
      </c>
      <c r="F228" s="125">
        <f>ROUND(E228*Valores!$C$2,2)</f>
        <v>6539.62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2225.29</v>
      </c>
      <c r="N228" s="125">
        <f t="shared" si="33"/>
        <v>0</v>
      </c>
      <c r="O228" s="125">
        <f>Valores!$C$7*B228</f>
        <v>2807.15</v>
      </c>
      <c r="P228" s="125">
        <f>ROUND(IF(B228&lt;15,(Valores!$E$5*B228),Valores!$D$5),2)</f>
        <v>2821.14</v>
      </c>
      <c r="Q228" s="125">
        <v>0</v>
      </c>
      <c r="R228" s="125">
        <f>IF($F$4="NO",IF(Valores!$C$50*B228&gt;Valores!$F$47,Valores!$F$47,Valores!$C$50*B228),IF(Valores!$C$50*B228&gt;Valores!$F$47,Valores!$F$47,Valores!$C$50*B228)/2)</f>
        <v>1478.65</v>
      </c>
      <c r="S228" s="125">
        <f>Valores!$C$18*B228</f>
        <v>882.88</v>
      </c>
      <c r="T228" s="125">
        <f t="shared" si="40"/>
        <v>882.88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IF(Valores!$C$99*B228&gt;Valores!$C$98,Valores!$C$98,Valores!$C$99*B228)</f>
        <v>2695.27</v>
      </c>
      <c r="AA228" s="125">
        <f>IF((Valores!$C$28)*B228&gt;Valores!$F$28,Valores!$F$28,(Valores!$C$28)*B228)</f>
        <v>69.36</v>
      </c>
      <c r="AB228" s="214">
        <v>0</v>
      </c>
      <c r="AC228" s="125">
        <f t="shared" si="34"/>
        <v>0</v>
      </c>
      <c r="AD228" s="125">
        <f>IF(Valores!$C$29*B228&gt;Valores!$F$29,Valores!$F$29,Valores!$C$29*B228)</f>
        <v>57.76</v>
      </c>
      <c r="AE228" s="192">
        <v>94</v>
      </c>
      <c r="AF228" s="125">
        <f>ROUND(AE228*Valores!$C$2,2)</f>
        <v>7781.32</v>
      </c>
      <c r="AG228" s="125">
        <f>IF($F$4="NO",IF(Valores!$D$64*'Escala Docente'!B228&gt;Valores!$F$64,Valores!$F$64,Valores!$D$64*'Escala Docente'!B228),IF(Valores!$D$64*'Escala Docente'!B228&gt;Valores!$F$64,Valores!$F$64,Valores!$D$64*'Escala Docente'!B228)/2)</f>
        <v>1319.08</v>
      </c>
      <c r="AH228" s="125">
        <f>SUM(F228,H228,J228,L228,M228,N228,O228,P228,Q228,R228,T228,U228,V228,X228,Y228,Z228,AA228,AC228,AD228,AF228,AG228)*Valores!$C$104</f>
        <v>2867.752</v>
      </c>
      <c r="AI228" s="125">
        <f t="shared" si="37"/>
        <v>31545.271999999997</v>
      </c>
      <c r="AJ228" s="125">
        <f>IF(Valores!$C$33*B228&gt;Valores!$F$33,Valores!$F$33,Valores!$C$33*B228)</f>
        <v>2333.33333333333</v>
      </c>
      <c r="AK228" s="125">
        <v>0</v>
      </c>
      <c r="AL228" s="125">
        <f>IF(Valores!$C$92*B228&gt;Valores!$C$91,Valores!$C$91,Valores!$C$92*B228)</f>
        <v>0</v>
      </c>
      <c r="AM228" s="125">
        <f>IF(Valores!C$40*B228&gt;Valores!F$39,Valores!F$39,Valores!C$40*B228)</f>
        <v>0</v>
      </c>
      <c r="AN228" s="125">
        <f>IF($F$3="NO",0,IF(Valores!$C$63*B228&gt;Valores!$F$63,Valores!$F$63,Valores!$C$63*B228))</f>
        <v>0</v>
      </c>
      <c r="AO228" s="125">
        <f t="shared" si="35"/>
        <v>2333.33333333333</v>
      </c>
      <c r="AP228" s="125">
        <f>AI228*Valores!$C$72</f>
        <v>-3469.9799199999998</v>
      </c>
      <c r="AQ228" s="125">
        <f>IF(AI228&lt;Valores!$E$73,-0.02,IF(AI228&lt;Valores!$F$73,-0.03,-0.04))*AI228</f>
        <v>-630.90544</v>
      </c>
      <c r="AR228" s="125">
        <f>AI228*Valores!$C$75</f>
        <v>-1734.9899599999999</v>
      </c>
      <c r="AS228" s="125">
        <f>Valores!$C$102</f>
        <v>-1270.16</v>
      </c>
      <c r="AT228" s="125">
        <f>IF($F$5=0,Valores!$C$103,(Valores!$C$103+$F$5*(Valores!$C$103)))</f>
        <v>-11714</v>
      </c>
      <c r="AU228" s="125">
        <f t="shared" si="38"/>
        <v>15058.570013333327</v>
      </c>
      <c r="AV228" s="125">
        <f t="shared" si="32"/>
        <v>-3469.9799199999998</v>
      </c>
      <c r="AW228" s="125">
        <f t="shared" si="39"/>
        <v>-630.90544</v>
      </c>
      <c r="AX228" s="125">
        <f>AI228*Valores!$C$76</f>
        <v>-851.7223439999999</v>
      </c>
      <c r="AY228" s="125">
        <f>AI228*Valores!$C$77</f>
        <v>-94.63581599999999</v>
      </c>
      <c r="AZ228" s="125">
        <f t="shared" si="36"/>
        <v>28831.361813333326</v>
      </c>
      <c r="BA228" s="125">
        <f>AI228*Valores!$C$79</f>
        <v>5047.24352</v>
      </c>
      <c r="BB228" s="125">
        <f>AI228*Valores!$C$80</f>
        <v>2208.16904</v>
      </c>
      <c r="BC228" s="125">
        <f>AI228*Valores!$C$81</f>
        <v>315.45272</v>
      </c>
      <c r="BD228" s="125">
        <f>AI228*Valores!$C$83</f>
        <v>1104.08452</v>
      </c>
      <c r="BE228" s="125">
        <f>AI228*Valores!$C$85</f>
        <v>1703.4446879999998</v>
      </c>
      <c r="BF228" s="125">
        <f>AI228*Valores!$C$84</f>
        <v>189.27163199999998</v>
      </c>
      <c r="BG228" s="126"/>
      <c r="BH228" s="126">
        <f t="shared" si="41"/>
        <v>1</v>
      </c>
      <c r="BI228" s="123" t="s">
        <v>4</v>
      </c>
    </row>
    <row r="229" spans="1:61" s="110" customFormat="1" ht="11.25" customHeight="1">
      <c r="A229" s="123" t="s">
        <v>466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42"/>
        <v>158</v>
      </c>
      <c r="F229" s="125">
        <f>ROUND(E229*Valores!$C$2,2)</f>
        <v>13079.24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4450.58</v>
      </c>
      <c r="N229" s="125">
        <f t="shared" si="33"/>
        <v>0</v>
      </c>
      <c r="O229" s="125">
        <f>Valores!$C$7*B229</f>
        <v>5614.3</v>
      </c>
      <c r="P229" s="125">
        <f>ROUND(IF(B229&lt;15,(Valores!$E$5*B229),Valores!$D$5),2)</f>
        <v>5642.28</v>
      </c>
      <c r="Q229" s="125">
        <v>0</v>
      </c>
      <c r="R229" s="125">
        <f>IF($F$4="NO",IF(Valores!$C$50*B229&gt;Valores!$F$47,Valores!$F$47,Valores!$C$50*B229),IF(Valores!$C$50*B229&gt;Valores!$F$47,Valores!$F$47,Valores!$C$50*B229)/2)</f>
        <v>2957.3</v>
      </c>
      <c r="S229" s="125">
        <f>Valores!$C$18*B229</f>
        <v>1765.76</v>
      </c>
      <c r="T229" s="125">
        <f t="shared" si="40"/>
        <v>1765.76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IF(Valores!$C$99*B229&gt;Valores!$C$98,Valores!$C$98,Valores!$C$99*B229)</f>
        <v>5390.54</v>
      </c>
      <c r="AA229" s="125">
        <f>IF((Valores!$C$28)*B229&gt;Valores!$F$28,Valores!$F$28,(Valores!$C$28)*B229)</f>
        <v>138.72</v>
      </c>
      <c r="AB229" s="214">
        <v>0</v>
      </c>
      <c r="AC229" s="125">
        <f t="shared" si="34"/>
        <v>0</v>
      </c>
      <c r="AD229" s="125">
        <f>IF(Valores!$C$29*B229&gt;Valores!$F$29,Valores!$F$29,Valores!$C$29*B229)</f>
        <v>115.52</v>
      </c>
      <c r="AE229" s="192">
        <v>0</v>
      </c>
      <c r="AF229" s="125">
        <f>ROUND(AE229*Valores!$C$2,2)</f>
        <v>0</v>
      </c>
      <c r="AG229" s="125">
        <f>IF($F$4="NO",IF(Valores!$D$64*'Escala Docente'!B229&gt;Valores!$F$64,Valores!$F$64,Valores!$D$64*'Escala Docente'!B229),IF(Valores!$D$64*'Escala Docente'!B229&gt;Valores!$F$64,Valores!$F$64,Valores!$D$64*'Escala Docente'!B229)/2)</f>
        <v>2638.16</v>
      </c>
      <c r="AH229" s="125">
        <f>SUM(F229,H229,J229,L229,M229,N229,O229,P229,Q229,R229,T229,U229,V229,X229,Y229,Z229,AA229,AC229,AD229,AF229,AG229)*Valores!$C$104</f>
        <v>4179.24</v>
      </c>
      <c r="AI229" s="125">
        <f t="shared" si="37"/>
        <v>45971.63999999999</v>
      </c>
      <c r="AJ229" s="125">
        <f>IF(Valores!$C$33*B229&gt;Valores!$F$33,Valores!$F$33,Valores!$C$33*B229)</f>
        <v>4666.66666666666</v>
      </c>
      <c r="AK229" s="125">
        <v>0</v>
      </c>
      <c r="AL229" s="125">
        <f>IF(Valores!$C$92*B229&gt;Valores!$C$91,Valores!$C$91,Valores!$C$92*B229)</f>
        <v>0</v>
      </c>
      <c r="AM229" s="125">
        <f>IF(Valores!C$40*B229&gt;Valores!F$39,Valores!F$39,Valores!C$40*B229)</f>
        <v>0</v>
      </c>
      <c r="AN229" s="125">
        <f>IF($F$3="NO",0,IF(Valores!$C$63*B229&gt;Valores!$F$63,Valores!$F$63,Valores!$C$63*B229))</f>
        <v>0</v>
      </c>
      <c r="AO229" s="125">
        <f t="shared" si="35"/>
        <v>4666.66666666666</v>
      </c>
      <c r="AP229" s="125">
        <f>AI229*Valores!$C$72</f>
        <v>-5056.880399999999</v>
      </c>
      <c r="AQ229" s="125">
        <f>IF(AI229&lt;Valores!$E$73,-0.02,IF(AI229&lt;Valores!$F$73,-0.03,-0.04))*AI229</f>
        <v>-919.4327999999998</v>
      </c>
      <c r="AR229" s="125">
        <f>AI229*Valores!$C$75</f>
        <v>-2528.4401999999995</v>
      </c>
      <c r="AS229" s="125">
        <f>Valores!$C$102</f>
        <v>-1270.16</v>
      </c>
      <c r="AT229" s="125">
        <f>IF($F$5=0,Valores!$C$103,(Valores!$C$103+$F$5*(Valores!$C$103)))</f>
        <v>-11714</v>
      </c>
      <c r="AU229" s="125">
        <f t="shared" si="38"/>
        <v>29149.39326666665</v>
      </c>
      <c r="AV229" s="125">
        <f t="shared" si="32"/>
        <v>-5056.880399999999</v>
      </c>
      <c r="AW229" s="125">
        <f t="shared" si="39"/>
        <v>-919.4327999999998</v>
      </c>
      <c r="AX229" s="125">
        <f>AI229*Valores!$C$76</f>
        <v>-1241.2342799999997</v>
      </c>
      <c r="AY229" s="125">
        <f>AI229*Valores!$C$77</f>
        <v>-137.91491999999997</v>
      </c>
      <c r="AZ229" s="125">
        <f t="shared" si="36"/>
        <v>43282.84426666665</v>
      </c>
      <c r="BA229" s="125">
        <f>AI229*Valores!$C$79</f>
        <v>7355.4623999999985</v>
      </c>
      <c r="BB229" s="125">
        <f>AI229*Valores!$C$80</f>
        <v>3218.0148</v>
      </c>
      <c r="BC229" s="125">
        <f>AI229*Valores!$C$81</f>
        <v>459.7163999999999</v>
      </c>
      <c r="BD229" s="125">
        <f>AI229*Valores!$C$83</f>
        <v>1609.0074</v>
      </c>
      <c r="BE229" s="125">
        <f>AI229*Valores!$C$85</f>
        <v>2482.4685599999993</v>
      </c>
      <c r="BF229" s="125">
        <f>AI229*Valores!$C$84</f>
        <v>275.82983999999993</v>
      </c>
      <c r="BG229" s="126"/>
      <c r="BH229" s="126">
        <f t="shared" si="41"/>
        <v>2</v>
      </c>
      <c r="BI229" s="123" t="s">
        <v>4</v>
      </c>
    </row>
    <row r="230" spans="1:61" s="110" customFormat="1" ht="11.25" customHeight="1">
      <c r="A230" s="123" t="s">
        <v>466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42"/>
        <v>158</v>
      </c>
      <c r="F230" s="125">
        <f>ROUND(E230*Valores!$C$2,2)</f>
        <v>13079.24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4450.58</v>
      </c>
      <c r="N230" s="125">
        <f t="shared" si="33"/>
        <v>0</v>
      </c>
      <c r="O230" s="125">
        <f>Valores!$C$7*B230</f>
        <v>5614.3</v>
      </c>
      <c r="P230" s="125">
        <f>ROUND(IF(B230&lt;15,(Valores!$E$5*B230),Valores!$D$5),2)</f>
        <v>5642.28</v>
      </c>
      <c r="Q230" s="125">
        <v>0</v>
      </c>
      <c r="R230" s="125">
        <f>IF($F$4="NO",IF(Valores!$C$50*B230&gt;Valores!$F$47,Valores!$F$47,Valores!$C$50*B230),IF(Valores!$C$50*B230&gt;Valores!$F$47,Valores!$F$47,Valores!$C$50*B230)/2)</f>
        <v>2957.3</v>
      </c>
      <c r="S230" s="125">
        <f>Valores!$C$18*B230</f>
        <v>1765.76</v>
      </c>
      <c r="T230" s="125">
        <f t="shared" si="40"/>
        <v>1765.76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IF(Valores!$C$99*B230&gt;Valores!$C$98,Valores!$C$98,Valores!$C$99*B230)</f>
        <v>5390.54</v>
      </c>
      <c r="AA230" s="125">
        <f>IF((Valores!$C$28)*B230&gt;Valores!$F$28,Valores!$F$28,(Valores!$C$28)*B230)</f>
        <v>138.72</v>
      </c>
      <c r="AB230" s="214">
        <v>0</v>
      </c>
      <c r="AC230" s="125">
        <f t="shared" si="34"/>
        <v>0</v>
      </c>
      <c r="AD230" s="125">
        <f>IF(Valores!$C$29*B230&gt;Valores!$F$29,Valores!$F$29,Valores!$C$29*B230)</f>
        <v>115.52</v>
      </c>
      <c r="AE230" s="192">
        <v>94</v>
      </c>
      <c r="AF230" s="125">
        <f>ROUND(AE230*Valores!$C$2,2)</f>
        <v>7781.32</v>
      </c>
      <c r="AG230" s="125">
        <f>IF($F$4="NO",IF(Valores!$D$64*'Escala Docente'!B230&gt;Valores!$F$64,Valores!$F$64,Valores!$D$64*'Escala Docente'!B230),IF(Valores!$D$64*'Escala Docente'!B230&gt;Valores!$F$64,Valores!$F$64,Valores!$D$64*'Escala Docente'!B230)/2)</f>
        <v>2638.16</v>
      </c>
      <c r="AH230" s="125">
        <f>SUM(F230,H230,J230,L230,M230,N230,O230,P230,Q230,R230,T230,U230,V230,X230,Y230,Z230,AA230,AC230,AD230,AF230,AG230)*Valores!$C$104</f>
        <v>4957.372</v>
      </c>
      <c r="AI230" s="125">
        <f t="shared" si="37"/>
        <v>54531.092000000004</v>
      </c>
      <c r="AJ230" s="125">
        <f>IF(Valores!$C$33*B230&gt;Valores!$F$33,Valores!$F$33,Valores!$C$33*B230)</f>
        <v>4666.66666666666</v>
      </c>
      <c r="AK230" s="125">
        <v>0</v>
      </c>
      <c r="AL230" s="125">
        <f>IF(Valores!$C$92*B230&gt;Valores!$C$91,Valores!$C$91,Valores!$C$92*B230)</f>
        <v>0</v>
      </c>
      <c r="AM230" s="125">
        <f>IF(Valores!C$40*B230&gt;Valores!F$39,Valores!F$39,Valores!C$40*B230)</f>
        <v>0</v>
      </c>
      <c r="AN230" s="125">
        <f>IF($F$3="NO",0,IF(Valores!$C$63*B230&gt;Valores!$F$63,Valores!$F$63,Valores!$C$63*B230))</f>
        <v>0</v>
      </c>
      <c r="AO230" s="125">
        <f t="shared" si="35"/>
        <v>4666.66666666666</v>
      </c>
      <c r="AP230" s="125">
        <f>AI230*Valores!$C$72</f>
        <v>-5998.420120000001</v>
      </c>
      <c r="AQ230" s="125">
        <f>IF(AI230&lt;Valores!$E$73,-0.02,IF(AI230&lt;Valores!$F$73,-0.03,-0.04))*AI230</f>
        <v>-1090.62184</v>
      </c>
      <c r="AR230" s="125">
        <f>AI230*Valores!$C$75</f>
        <v>-2999.2100600000003</v>
      </c>
      <c r="AS230" s="125">
        <f>Valores!$C$102</f>
        <v>-1270.16</v>
      </c>
      <c r="AT230" s="125">
        <f>IF($F$5=0,Valores!$C$103,(Valores!$C$103+$F$5*(Valores!$C$103)))</f>
        <v>-11714</v>
      </c>
      <c r="AU230" s="125">
        <f t="shared" si="38"/>
        <v>36125.346646666665</v>
      </c>
      <c r="AV230" s="125">
        <f t="shared" si="32"/>
        <v>-5998.420120000001</v>
      </c>
      <c r="AW230" s="125">
        <f t="shared" si="39"/>
        <v>-1090.62184</v>
      </c>
      <c r="AX230" s="125">
        <f>AI230*Valores!$C$76</f>
        <v>-1472.339484</v>
      </c>
      <c r="AY230" s="125">
        <f>AI230*Valores!$C$77</f>
        <v>-163.593276</v>
      </c>
      <c r="AZ230" s="125">
        <f t="shared" si="36"/>
        <v>50472.78394666666</v>
      </c>
      <c r="BA230" s="125">
        <f>AI230*Valores!$C$79</f>
        <v>8724.97472</v>
      </c>
      <c r="BB230" s="125">
        <f>AI230*Valores!$C$80</f>
        <v>3817.1764400000006</v>
      </c>
      <c r="BC230" s="125">
        <f>AI230*Valores!$C$81</f>
        <v>545.31092</v>
      </c>
      <c r="BD230" s="125">
        <f>AI230*Valores!$C$83</f>
        <v>1908.5882200000003</v>
      </c>
      <c r="BE230" s="125">
        <f>AI230*Valores!$C$85</f>
        <v>2944.678968</v>
      </c>
      <c r="BF230" s="125">
        <f>AI230*Valores!$C$84</f>
        <v>327.186552</v>
      </c>
      <c r="BG230" s="126"/>
      <c r="BH230" s="126">
        <f t="shared" si="41"/>
        <v>2</v>
      </c>
      <c r="BI230" s="123" t="s">
        <v>4</v>
      </c>
    </row>
    <row r="231" spans="1:61" s="110" customFormat="1" ht="11.25" customHeight="1">
      <c r="A231" s="123" t="s">
        <v>466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42"/>
        <v>237</v>
      </c>
      <c r="F231" s="125">
        <f>ROUND(E231*Valores!$C$2,2)</f>
        <v>19618.86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6675.86</v>
      </c>
      <c r="N231" s="125">
        <f t="shared" si="33"/>
        <v>0</v>
      </c>
      <c r="O231" s="125">
        <f>Valores!$C$7*B231</f>
        <v>8421.45</v>
      </c>
      <c r="P231" s="125">
        <f>ROUND(IF(B231&lt;15,(Valores!$E$5*B231),Valores!$D$5),2)</f>
        <v>8463.42</v>
      </c>
      <c r="Q231" s="125">
        <v>0</v>
      </c>
      <c r="R231" s="125">
        <f>IF($F$4="NO",IF(Valores!$C$50*B231&gt;Valores!$F$47,Valores!$F$47,Valores!$C$50*B231),IF(Valores!$C$50*B231&gt;Valores!$F$47,Valores!$F$47,Valores!$C$50*B231)/2)</f>
        <v>4435.950000000001</v>
      </c>
      <c r="S231" s="125">
        <f>Valores!$C$18*B231</f>
        <v>2648.64</v>
      </c>
      <c r="T231" s="125">
        <f t="shared" si="40"/>
        <v>2648.64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IF(Valores!$C$99*B231&gt;Valores!$C$98,Valores!$C$98,Valores!$C$99*B231)</f>
        <v>8085.8099999999995</v>
      </c>
      <c r="AA231" s="125">
        <f>IF((Valores!$C$28)*B231&gt;Valores!$F$28,Valores!$F$28,(Valores!$C$28)*B231)</f>
        <v>208.07999999999998</v>
      </c>
      <c r="AB231" s="214">
        <v>0</v>
      </c>
      <c r="AC231" s="125">
        <f t="shared" si="34"/>
        <v>0</v>
      </c>
      <c r="AD231" s="125">
        <f>IF(Valores!$C$29*B231&gt;Valores!$F$29,Valores!$F$29,Valores!$C$29*B231)</f>
        <v>173.28</v>
      </c>
      <c r="AE231" s="192">
        <v>0</v>
      </c>
      <c r="AF231" s="125">
        <f>ROUND(AE231*Valores!$C$2,2)</f>
        <v>0</v>
      </c>
      <c r="AG231" s="125">
        <f>IF($F$4="NO",IF(Valores!$D$64*'Escala Docente'!B231&gt;Valores!$F$64,Valores!$F$64,Valores!$D$64*'Escala Docente'!B231),IF(Valores!$D$64*'Escala Docente'!B231&gt;Valores!$F$64,Valores!$F$64,Valores!$D$64*'Escala Docente'!B231)/2)+0.01</f>
        <v>3957.25</v>
      </c>
      <c r="AH231" s="125">
        <f>SUM(F231,H231,J231,L231,M231,N231,O231,P231,Q231,R231,T231,U231,V231,X231,Y231,Z231,AA231,AC231,AD231,AF231,AG231)*Valores!$C$104</f>
        <v>6268.86</v>
      </c>
      <c r="AI231" s="125">
        <f t="shared" si="37"/>
        <v>68957.45999999999</v>
      </c>
      <c r="AJ231" s="125">
        <f>IF(Valores!$C$33*B231&gt;Valores!$F$33,Valores!$F$33,Valores!$C$33*B231)</f>
        <v>6999.999999999989</v>
      </c>
      <c r="AK231" s="125">
        <v>0</v>
      </c>
      <c r="AL231" s="125">
        <f>IF(Valores!$C$92*B231&gt;Valores!$C$91,Valores!$C$91,Valores!$C$92*B231)</f>
        <v>0</v>
      </c>
      <c r="AM231" s="125">
        <f>IF(Valores!C$40*B231&gt;Valores!F$39,Valores!F$39,Valores!C$40*B231)</f>
        <v>0</v>
      </c>
      <c r="AN231" s="125">
        <f>IF($F$3="NO",0,IF(Valores!$C$63*B231&gt;Valores!$F$63,Valores!$F$63,Valores!$C$63*B231))</f>
        <v>0</v>
      </c>
      <c r="AO231" s="125">
        <f t="shared" si="35"/>
        <v>6999.999999999989</v>
      </c>
      <c r="AP231" s="125">
        <f>AI231*Valores!$C$72</f>
        <v>-7585.320599999999</v>
      </c>
      <c r="AQ231" s="125">
        <f>IF(AI231&lt;Valores!$E$73,-0.02,IF(AI231&lt;Valores!$F$73,-0.03,-0.04))*AI231</f>
        <v>-1379.1491999999998</v>
      </c>
      <c r="AR231" s="125">
        <f>AI231*Valores!$C$75</f>
        <v>-3792.6602999999996</v>
      </c>
      <c r="AS231" s="125">
        <f>Valores!$C$102</f>
        <v>-1270.16</v>
      </c>
      <c r="AT231" s="125">
        <f>IF($F$5=0,Valores!$C$103,(Valores!$C$103+$F$5*(Valores!$C$103)))</f>
        <v>-11714</v>
      </c>
      <c r="AU231" s="125">
        <f t="shared" si="38"/>
        <v>50216.16989999998</v>
      </c>
      <c r="AV231" s="125">
        <f t="shared" si="32"/>
        <v>-7585.320599999999</v>
      </c>
      <c r="AW231" s="125">
        <f t="shared" si="39"/>
        <v>-1379.1491999999998</v>
      </c>
      <c r="AX231" s="125">
        <f>AI231*Valores!$C$76</f>
        <v>-1861.8514199999997</v>
      </c>
      <c r="AY231" s="125">
        <f>AI231*Valores!$C$77</f>
        <v>-206.87238</v>
      </c>
      <c r="AZ231" s="125">
        <f t="shared" si="36"/>
        <v>64924.26639999998</v>
      </c>
      <c r="BA231" s="125">
        <f>AI231*Valores!$C$79</f>
        <v>11033.193599999999</v>
      </c>
      <c r="BB231" s="125">
        <f>AI231*Valores!$C$80</f>
        <v>4827.0222</v>
      </c>
      <c r="BC231" s="125">
        <f>AI231*Valores!$C$81</f>
        <v>689.5745999999999</v>
      </c>
      <c r="BD231" s="125">
        <f>AI231*Valores!$C$83</f>
        <v>2413.5111</v>
      </c>
      <c r="BE231" s="125">
        <f>AI231*Valores!$C$85</f>
        <v>3723.7028399999995</v>
      </c>
      <c r="BF231" s="125">
        <f>AI231*Valores!$C$84</f>
        <v>413.74476</v>
      </c>
      <c r="BG231" s="126"/>
      <c r="BH231" s="126">
        <f t="shared" si="41"/>
        <v>3</v>
      </c>
      <c r="BI231" s="123" t="s">
        <v>4</v>
      </c>
    </row>
    <row r="232" spans="1:61" s="110" customFormat="1" ht="11.25" customHeight="1">
      <c r="A232" s="123" t="s">
        <v>466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42"/>
        <v>237</v>
      </c>
      <c r="F232" s="125">
        <f>ROUND(E232*Valores!$C$2,2)</f>
        <v>19618.86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6675.86</v>
      </c>
      <c r="N232" s="125">
        <f t="shared" si="33"/>
        <v>0</v>
      </c>
      <c r="O232" s="125">
        <f>Valores!$C$7*B232</f>
        <v>8421.45</v>
      </c>
      <c r="P232" s="125">
        <f>ROUND(IF(B232&lt;15,(Valores!$E$5*B232),Valores!$D$5),2)</f>
        <v>8463.42</v>
      </c>
      <c r="Q232" s="125">
        <v>0</v>
      </c>
      <c r="R232" s="125">
        <f>IF($F$4="NO",IF(Valores!$C$50*B232&gt;Valores!$F$47,Valores!$F$47,Valores!$C$50*B232),IF(Valores!$C$50*B232&gt;Valores!$F$47,Valores!$F$47,Valores!$C$50*B232)/2)</f>
        <v>4435.950000000001</v>
      </c>
      <c r="S232" s="125">
        <f>Valores!$C$18*B232</f>
        <v>2648.64</v>
      </c>
      <c r="T232" s="125">
        <f t="shared" si="40"/>
        <v>2648.64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IF(Valores!$C$99*B232&gt;Valores!$C$98,Valores!$C$98,Valores!$C$99*B232)</f>
        <v>8085.8099999999995</v>
      </c>
      <c r="AA232" s="125">
        <f>IF((Valores!$C$28)*B232&gt;Valores!$F$28,Valores!$F$28,(Valores!$C$28)*B232)</f>
        <v>208.07999999999998</v>
      </c>
      <c r="AB232" s="214">
        <v>0</v>
      </c>
      <c r="AC232" s="125">
        <f t="shared" si="34"/>
        <v>0</v>
      </c>
      <c r="AD232" s="125">
        <f>IF(Valores!$C$29*B232&gt;Valores!$F$29,Valores!$F$29,Valores!$C$29*B232)</f>
        <v>173.28</v>
      </c>
      <c r="AE232" s="192">
        <v>94</v>
      </c>
      <c r="AF232" s="125">
        <f>ROUND(AE232*Valores!$C$2,2)</f>
        <v>7781.32</v>
      </c>
      <c r="AG232" s="125">
        <f>IF($F$4="NO",IF(Valores!$D$64*'Escala Docente'!B232&gt;Valores!$F$64,Valores!$F$64,Valores!$D$64*'Escala Docente'!B232),IF(Valores!$D$64*'Escala Docente'!B232&gt;Valores!$F$64,Valores!$F$64,Valores!$D$64*'Escala Docente'!B232)/2)+0.01</f>
        <v>3957.25</v>
      </c>
      <c r="AH232" s="125">
        <f>SUM(F232,H232,J232,L232,M232,N232,O232,P232,Q232,R232,T232,U232,V232,X232,Y232,Z232,AA232,AC232,AD232,AF232,AG232)*Valores!$C$104</f>
        <v>7046.991999999998</v>
      </c>
      <c r="AI232" s="125">
        <f t="shared" si="37"/>
        <v>77516.91199999998</v>
      </c>
      <c r="AJ232" s="125">
        <f>IF(Valores!$C$33*B232&gt;Valores!$F$33,Valores!$F$33,Valores!$C$33*B232)</f>
        <v>6999.999999999989</v>
      </c>
      <c r="AK232" s="125">
        <v>0</v>
      </c>
      <c r="AL232" s="125">
        <f>IF(Valores!$C$92*B232&gt;Valores!$C$91,Valores!$C$91,Valores!$C$92*B232)</f>
        <v>0</v>
      </c>
      <c r="AM232" s="125">
        <f>IF(Valores!C$40*B232&gt;Valores!F$39,Valores!F$39,Valores!C$40*B232)</f>
        <v>0</v>
      </c>
      <c r="AN232" s="125">
        <f>IF($F$3="NO",0,IF(Valores!$C$63*B232&gt;Valores!$F$63,Valores!$F$63,Valores!$C$63*B232))</f>
        <v>0</v>
      </c>
      <c r="AO232" s="125">
        <f t="shared" si="35"/>
        <v>6999.999999999989</v>
      </c>
      <c r="AP232" s="125">
        <f>AI232*Valores!$C$72</f>
        <v>-8526.860319999998</v>
      </c>
      <c r="AQ232" s="125">
        <f>IF(AI232&lt;Valores!$E$73,-0.02,IF(AI232&lt;Valores!$F$73,-0.03,-0.04))*AI232</f>
        <v>-1550.3382399999996</v>
      </c>
      <c r="AR232" s="125">
        <f>AI232*Valores!$C$75</f>
        <v>-4263.430159999999</v>
      </c>
      <c r="AS232" s="125">
        <f>Valores!$C$102</f>
        <v>-1270.16</v>
      </c>
      <c r="AT232" s="125">
        <f>IF($F$5=0,Valores!$C$103,(Valores!$C$103+$F$5*(Valores!$C$103)))</f>
        <v>-11714</v>
      </c>
      <c r="AU232" s="125">
        <f t="shared" si="38"/>
        <v>57192.12327999997</v>
      </c>
      <c r="AV232" s="125">
        <f t="shared" si="32"/>
        <v>-8526.860319999998</v>
      </c>
      <c r="AW232" s="125">
        <f t="shared" si="39"/>
        <v>-1550.3382399999996</v>
      </c>
      <c r="AX232" s="125">
        <f>AI232*Valores!$C$76</f>
        <v>-2092.9566239999995</v>
      </c>
      <c r="AY232" s="125">
        <f>AI232*Valores!$C$77</f>
        <v>-232.55073599999994</v>
      </c>
      <c r="AZ232" s="125">
        <f t="shared" si="36"/>
        <v>72114.20607999997</v>
      </c>
      <c r="BA232" s="125">
        <f>AI232*Valores!$C$79</f>
        <v>12402.705919999997</v>
      </c>
      <c r="BB232" s="125">
        <f>AI232*Valores!$C$80</f>
        <v>5426.18384</v>
      </c>
      <c r="BC232" s="125">
        <f>AI232*Valores!$C$81</f>
        <v>775.1691199999998</v>
      </c>
      <c r="BD232" s="125">
        <f>AI232*Valores!$C$83</f>
        <v>2713.09192</v>
      </c>
      <c r="BE232" s="125">
        <f>AI232*Valores!$C$85</f>
        <v>4185.913247999999</v>
      </c>
      <c r="BF232" s="125">
        <f>AI232*Valores!$C$84</f>
        <v>465.1014719999999</v>
      </c>
      <c r="BG232" s="126"/>
      <c r="BH232" s="126">
        <f t="shared" si="41"/>
        <v>3</v>
      </c>
      <c r="BI232" s="123" t="s">
        <v>4</v>
      </c>
    </row>
    <row r="233" spans="1:61" s="110" customFormat="1" ht="11.25" customHeight="1">
      <c r="A233" s="123" t="s">
        <v>466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42"/>
        <v>316</v>
      </c>
      <c r="F233" s="125">
        <f>ROUND(E233*Valores!$C$2,2)</f>
        <v>26158.48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8901.15</v>
      </c>
      <c r="N233" s="125">
        <f t="shared" si="33"/>
        <v>0</v>
      </c>
      <c r="O233" s="125">
        <f>Valores!$C$7*B233</f>
        <v>11228.6</v>
      </c>
      <c r="P233" s="125">
        <f>ROUND(IF(B233&lt;15,(Valores!$E$5*B233),Valores!$D$5),2)</f>
        <v>11284.56</v>
      </c>
      <c r="Q233" s="125">
        <v>0</v>
      </c>
      <c r="R233" s="125">
        <f>IF($F$4="NO",IF(Valores!$C$50*B233&gt;Valores!$F$47,Valores!$F$47,Valores!$C$50*B233),IF(Valores!$C$50*B233&gt;Valores!$F$47,Valores!$F$47,Valores!$C$50*B233)/2)</f>
        <v>5914.6</v>
      </c>
      <c r="S233" s="125">
        <f>Valores!$C$18*B233</f>
        <v>3531.52</v>
      </c>
      <c r="T233" s="125">
        <f t="shared" si="40"/>
        <v>3531.52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IF(Valores!$C$99*B233&gt;Valores!$C$98,Valores!$C$98,Valores!$C$99*B233)</f>
        <v>10781.08</v>
      </c>
      <c r="AA233" s="125">
        <f>IF((Valores!$C$28)*B233&gt;Valores!$F$28,Valores!$F$28,(Valores!$C$28)*B233)</f>
        <v>277.44</v>
      </c>
      <c r="AB233" s="214">
        <v>0</v>
      </c>
      <c r="AC233" s="125">
        <f t="shared" si="34"/>
        <v>0</v>
      </c>
      <c r="AD233" s="125">
        <f>IF(Valores!$C$29*B233&gt;Valores!$F$29,Valores!$F$29,Valores!$C$29*B233)</f>
        <v>231.04</v>
      </c>
      <c r="AE233" s="192">
        <v>0</v>
      </c>
      <c r="AF233" s="125">
        <f>ROUND(AE233*Valores!$C$2,2)</f>
        <v>0</v>
      </c>
      <c r="AG233" s="125">
        <f>IF($F$4="NO",IF(Valores!$D$64*'Escala Docente'!B233&gt;Valores!$F$64,Valores!$F$64,Valores!$D$64*'Escala Docente'!B233),IF(Valores!$D$64*'Escala Docente'!B233&gt;Valores!$F$64,Valores!$F$64,Valores!$D$64*'Escala Docente'!B233)/2)+0.01</f>
        <v>5276.33</v>
      </c>
      <c r="AH233" s="125">
        <f>SUM(F233,H233,J233,L233,M233,N233,O233,P233,Q233,R233,T233,U233,V233,X233,Y233,Z233,AA233,AC233,AD233,AF233,AG233)*Valores!$C$104</f>
        <v>8358.48</v>
      </c>
      <c r="AI233" s="125">
        <f t="shared" si="37"/>
        <v>91943.27999999998</v>
      </c>
      <c r="AJ233" s="125">
        <f>IF(Valores!$C$33*B233&gt;Valores!$F$33,Valores!$F$33,Valores!$C$33*B233)</f>
        <v>9333.33333333332</v>
      </c>
      <c r="AK233" s="125">
        <v>0</v>
      </c>
      <c r="AL233" s="125">
        <f>IF(Valores!$C$92*B233&gt;Valores!$C$91,Valores!$C$91,Valores!$C$92*B233)</f>
        <v>0</v>
      </c>
      <c r="AM233" s="125">
        <f>IF(Valores!C$40*B233&gt;Valores!F$39,Valores!F$39,Valores!C$40*B233)</f>
        <v>0</v>
      </c>
      <c r="AN233" s="125">
        <f>IF($F$3="NO",0,IF(Valores!$C$63*B233&gt;Valores!$F$63,Valores!$F$63,Valores!$C$63*B233))</f>
        <v>0</v>
      </c>
      <c r="AO233" s="125">
        <f t="shared" si="35"/>
        <v>9333.33333333332</v>
      </c>
      <c r="AP233" s="125">
        <f>AI233*Valores!$C$72</f>
        <v>-10113.760799999998</v>
      </c>
      <c r="AQ233" s="125">
        <f>IF(AI233&lt;Valores!$E$73,-0.02,IF(AI233&lt;Valores!$F$73,-0.03,-0.04))*AI233</f>
        <v>-1838.8655999999996</v>
      </c>
      <c r="AR233" s="125">
        <f>AI233*Valores!$C$75</f>
        <v>-5056.880399999999</v>
      </c>
      <c r="AS233" s="125">
        <f>Valores!$C$102</f>
        <v>-1270.16</v>
      </c>
      <c r="AT233" s="125">
        <f>IF($F$5=0,Valores!$C$103,(Valores!$C$103+$F$5*(Valores!$C$103)))</f>
        <v>-11714</v>
      </c>
      <c r="AU233" s="125">
        <f t="shared" si="38"/>
        <v>71282.9465333333</v>
      </c>
      <c r="AV233" s="125">
        <f t="shared" si="32"/>
        <v>-10113.760799999998</v>
      </c>
      <c r="AW233" s="125">
        <f t="shared" si="39"/>
        <v>-1838.8655999999996</v>
      </c>
      <c r="AX233" s="125">
        <f>AI233*Valores!$C$76</f>
        <v>-2482.4685599999993</v>
      </c>
      <c r="AY233" s="125">
        <f>AI233*Valores!$C$77</f>
        <v>-275.82983999999993</v>
      </c>
      <c r="AZ233" s="125">
        <f t="shared" si="36"/>
        <v>86565.6885333333</v>
      </c>
      <c r="BA233" s="125">
        <f>AI233*Valores!$C$79</f>
        <v>14710.924799999997</v>
      </c>
      <c r="BB233" s="125">
        <f>AI233*Valores!$C$80</f>
        <v>6436.0296</v>
      </c>
      <c r="BC233" s="125">
        <f>AI233*Valores!$C$81</f>
        <v>919.4327999999998</v>
      </c>
      <c r="BD233" s="125">
        <f>AI233*Valores!$C$83</f>
        <v>3218.0148</v>
      </c>
      <c r="BE233" s="125">
        <f>AI233*Valores!$C$85</f>
        <v>4964.937119999999</v>
      </c>
      <c r="BF233" s="125">
        <f>AI233*Valores!$C$84</f>
        <v>551.6596799999999</v>
      </c>
      <c r="BG233" s="126"/>
      <c r="BH233" s="126">
        <f t="shared" si="41"/>
        <v>4</v>
      </c>
      <c r="BI233" s="123" t="s">
        <v>4</v>
      </c>
    </row>
    <row r="234" spans="1:61" s="110" customFormat="1" ht="11.25" customHeight="1">
      <c r="A234" s="123" t="s">
        <v>466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42"/>
        <v>316</v>
      </c>
      <c r="F234" s="125">
        <f>ROUND(E234*Valores!$C$2,2)</f>
        <v>26158.48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8901.15</v>
      </c>
      <c r="N234" s="125">
        <f t="shared" si="33"/>
        <v>0</v>
      </c>
      <c r="O234" s="125">
        <f>Valores!$C$7*B234</f>
        <v>11228.6</v>
      </c>
      <c r="P234" s="125">
        <f>ROUND(IF(B234&lt;15,(Valores!$E$5*B234),Valores!$D$5),2)</f>
        <v>11284.56</v>
      </c>
      <c r="Q234" s="125">
        <v>0</v>
      </c>
      <c r="R234" s="125">
        <f>IF($F$4="NO",IF(Valores!$C$50*B234&gt;Valores!$F$47,Valores!$F$47,Valores!$C$50*B234),IF(Valores!$C$50*B234&gt;Valores!$F$47,Valores!$F$47,Valores!$C$50*B234)/2)</f>
        <v>5914.6</v>
      </c>
      <c r="S234" s="125">
        <f>Valores!$C$18*B234</f>
        <v>3531.52</v>
      </c>
      <c r="T234" s="125">
        <f t="shared" si="40"/>
        <v>3531.52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IF(Valores!$C$99*B234&gt;Valores!$C$98,Valores!$C$98,Valores!$C$99*B234)</f>
        <v>10781.08</v>
      </c>
      <c r="AA234" s="125">
        <f>IF((Valores!$C$28)*B234&gt;Valores!$F$28,Valores!$F$28,(Valores!$C$28)*B234)</f>
        <v>277.44</v>
      </c>
      <c r="AB234" s="214">
        <v>0</v>
      </c>
      <c r="AC234" s="125">
        <f t="shared" si="34"/>
        <v>0</v>
      </c>
      <c r="AD234" s="125">
        <f>IF(Valores!$C$29*B234&gt;Valores!$F$29,Valores!$F$29,Valores!$C$29*B234)</f>
        <v>231.04</v>
      </c>
      <c r="AE234" s="192">
        <v>94</v>
      </c>
      <c r="AF234" s="125">
        <f>ROUND(AE234*Valores!$C$2,2)</f>
        <v>7781.32</v>
      </c>
      <c r="AG234" s="125">
        <f>IF($F$4="NO",IF(Valores!$D$64*'Escala Docente'!B234&gt;Valores!$F$64,Valores!$F$64,Valores!$D$64*'Escala Docente'!B234),IF(Valores!$D$64*'Escala Docente'!B234&gt;Valores!$F$64,Valores!$F$64,Valores!$D$64*'Escala Docente'!B234)/2)+0.01</f>
        <v>5276.33</v>
      </c>
      <c r="AH234" s="125">
        <f>SUM(F234,H234,J234,L234,M234,N234,O234,P234,Q234,R234,T234,U234,V234,X234,Y234,Z234,AA234,AC234,AD234,AF234,AG234)*Valores!$C$104</f>
        <v>9136.612</v>
      </c>
      <c r="AI234" s="125">
        <f t="shared" si="37"/>
        <v>100502.73199999997</v>
      </c>
      <c r="AJ234" s="125">
        <f>IF(Valores!$C$33*B234&gt;Valores!$F$33,Valores!$F$33,Valores!$C$33*B234)</f>
        <v>9333.33333333332</v>
      </c>
      <c r="AK234" s="125">
        <v>0</v>
      </c>
      <c r="AL234" s="125">
        <f>IF(Valores!$C$92*B234&gt;Valores!$C$91,Valores!$C$91,Valores!$C$92*B234)</f>
        <v>0</v>
      </c>
      <c r="AM234" s="125">
        <f>IF(Valores!C$40*B234&gt;Valores!F$39,Valores!F$39,Valores!C$40*B234)</f>
        <v>0</v>
      </c>
      <c r="AN234" s="125">
        <f>IF($F$3="NO",0,IF(Valores!$C$63*B234&gt;Valores!$F$63,Valores!$F$63,Valores!$C$63*B234))</f>
        <v>0</v>
      </c>
      <c r="AO234" s="125">
        <f t="shared" si="35"/>
        <v>9333.33333333332</v>
      </c>
      <c r="AP234" s="125">
        <f>AI234*Valores!$C$72</f>
        <v>-11055.300519999997</v>
      </c>
      <c r="AQ234" s="125">
        <f>IF(AI234&lt;Valores!$E$73,-0.02,IF(AI234&lt;Valores!$F$73,-0.03,-0.04))*AI234</f>
        <v>-2010.0546399999996</v>
      </c>
      <c r="AR234" s="125">
        <f>AI234*Valores!$C$75</f>
        <v>-5527.6502599999985</v>
      </c>
      <c r="AS234" s="125">
        <f>Valores!$C$102</f>
        <v>-1270.16</v>
      </c>
      <c r="AT234" s="125">
        <f>IF($F$5=0,Valores!$C$103,(Valores!$C$103+$F$5*(Valores!$C$103)))</f>
        <v>-11714</v>
      </c>
      <c r="AU234" s="125">
        <f t="shared" si="38"/>
        <v>78258.8999133333</v>
      </c>
      <c r="AV234" s="125">
        <f t="shared" si="32"/>
        <v>-11055.300519999997</v>
      </c>
      <c r="AW234" s="125">
        <f t="shared" si="39"/>
        <v>-2010.0546399999996</v>
      </c>
      <c r="AX234" s="125">
        <f>AI234*Valores!$C$76</f>
        <v>-2713.5737639999993</v>
      </c>
      <c r="AY234" s="125">
        <f>AI234*Valores!$C$77</f>
        <v>-301.50819599999994</v>
      </c>
      <c r="AZ234" s="125">
        <f t="shared" si="36"/>
        <v>93755.62821333329</v>
      </c>
      <c r="BA234" s="125">
        <f>AI234*Valores!$C$79</f>
        <v>16080.437119999997</v>
      </c>
      <c r="BB234" s="125">
        <f>AI234*Valores!$C$80</f>
        <v>7035.191239999999</v>
      </c>
      <c r="BC234" s="125">
        <f>AI234*Valores!$C$81</f>
        <v>1005.0273199999998</v>
      </c>
      <c r="BD234" s="125">
        <f>AI234*Valores!$C$83</f>
        <v>3517.5956199999996</v>
      </c>
      <c r="BE234" s="125">
        <f>AI234*Valores!$C$85</f>
        <v>5427.147527999999</v>
      </c>
      <c r="BF234" s="125">
        <f>AI234*Valores!$C$84</f>
        <v>603.0163919999999</v>
      </c>
      <c r="BG234" s="126"/>
      <c r="BH234" s="126">
        <f t="shared" si="41"/>
        <v>4</v>
      </c>
      <c r="BI234" s="123" t="s">
        <v>4</v>
      </c>
    </row>
    <row r="235" spans="1:61" s="110" customFormat="1" ht="11.25" customHeight="1">
      <c r="A235" s="123" t="s">
        <v>466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42"/>
        <v>395</v>
      </c>
      <c r="F235" s="125">
        <f>ROUND(E235*Valores!$C$2,2)</f>
        <v>32698.1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11126.44</v>
      </c>
      <c r="N235" s="125">
        <f t="shared" si="33"/>
        <v>0</v>
      </c>
      <c r="O235" s="125">
        <f>Valores!$C$7*B235</f>
        <v>14035.75</v>
      </c>
      <c r="P235" s="125">
        <f>ROUND(IF(B235&lt;15,(Valores!$E$5*B235),Valores!$D$5),2)</f>
        <v>14105.7</v>
      </c>
      <c r="Q235" s="125">
        <v>0</v>
      </c>
      <c r="R235" s="125">
        <f>IF($F$4="NO",IF(Valores!$C$50*B235&gt;Valores!$F$47,Valores!$F$47,Valores!$C$50*B235),IF(Valores!$C$50*B235&gt;Valores!$F$47,Valores!$F$47,Valores!$C$50*B235)/2)</f>
        <v>7393.25</v>
      </c>
      <c r="S235" s="125">
        <f>Valores!$C$18*B235</f>
        <v>4414.4</v>
      </c>
      <c r="T235" s="125">
        <f t="shared" si="40"/>
        <v>4414.4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IF(Valores!$C$99*B235&gt;Valores!$C$98,Valores!$C$98,Valores!$C$99*B235)</f>
        <v>13476.35</v>
      </c>
      <c r="AA235" s="125">
        <f>IF((Valores!$C$28)*B235&gt;Valores!$F$28,Valores!$F$28,(Valores!$C$28)*B235)</f>
        <v>346.8</v>
      </c>
      <c r="AB235" s="214">
        <v>0</v>
      </c>
      <c r="AC235" s="125">
        <f t="shared" si="34"/>
        <v>0</v>
      </c>
      <c r="AD235" s="125">
        <f>IF(Valores!$C$29*B235&gt;Valores!$F$29,Valores!$F$29,Valores!$C$29*B235)</f>
        <v>288.8</v>
      </c>
      <c r="AE235" s="192">
        <v>0</v>
      </c>
      <c r="AF235" s="125">
        <f>ROUND(AE235*Valores!$C$2,2)</f>
        <v>0</v>
      </c>
      <c r="AG235" s="125">
        <f>IF($F$4="NO",IF(Valores!$D$64*'Escala Docente'!B235&gt;Valores!$F$64,Valores!$F$64,Valores!$D$64*'Escala Docente'!B235),IF(Valores!$D$64*'Escala Docente'!B235&gt;Valores!$F$64,Valores!$F$64,Valores!$D$64*'Escala Docente'!B235)/2)+0.01</f>
        <v>6595.41</v>
      </c>
      <c r="AH235" s="125">
        <f>SUM(F235,H235,J235,L235,M235,N235,O235,P235,Q235,R235,T235,U235,V235,X235,Y235,Z235,AA235,AC235,AD235,AF235,AG235)*Valores!$C$104</f>
        <v>10448.100000000002</v>
      </c>
      <c r="AI235" s="125">
        <f t="shared" si="37"/>
        <v>114929.10000000002</v>
      </c>
      <c r="AJ235" s="125">
        <f>IF(Valores!$C$33*B235&gt;Valores!$F$33,Valores!$F$33,Valores!$C$33*B235)</f>
        <v>11666.66666666665</v>
      </c>
      <c r="AK235" s="125">
        <v>0</v>
      </c>
      <c r="AL235" s="125">
        <f>IF(Valores!$C$92*B235&gt;Valores!$C$91,Valores!$C$91,Valores!$C$92*B235)</f>
        <v>0</v>
      </c>
      <c r="AM235" s="125">
        <f>IF(Valores!C$40*B235&gt;Valores!F$39,Valores!F$39,Valores!C$40*B235)</f>
        <v>0</v>
      </c>
      <c r="AN235" s="125">
        <f>IF($F$3="NO",0,IF(Valores!$C$63*B235&gt;Valores!$F$63,Valores!$F$63,Valores!$C$63*B235))</f>
        <v>0</v>
      </c>
      <c r="AO235" s="125">
        <f t="shared" si="35"/>
        <v>11666.66666666665</v>
      </c>
      <c r="AP235" s="125">
        <f>AI235*Valores!$C$72</f>
        <v>-12642.201000000003</v>
      </c>
      <c r="AQ235" s="125">
        <f>IF(AI235&lt;Valores!$E$73,-0.02,IF(AI235&lt;Valores!$F$73,-0.03,-0.04))*AI235</f>
        <v>-2298.5820000000003</v>
      </c>
      <c r="AR235" s="125">
        <f>AI235*Valores!$C$75</f>
        <v>-6321.100500000001</v>
      </c>
      <c r="AS235" s="125">
        <f>Valores!$C$102</f>
        <v>-1270.16</v>
      </c>
      <c r="AT235" s="125">
        <f>IF($F$5=0,Valores!$C$103,(Valores!$C$103+$F$5*(Valores!$C$103)))</f>
        <v>-11714</v>
      </c>
      <c r="AU235" s="125">
        <f t="shared" si="38"/>
        <v>92349.72316666666</v>
      </c>
      <c r="AV235" s="125">
        <f t="shared" si="32"/>
        <v>-12642.201000000003</v>
      </c>
      <c r="AW235" s="125">
        <f t="shared" si="39"/>
        <v>-2298.5820000000003</v>
      </c>
      <c r="AX235" s="125">
        <f>AI235*Valores!$C$76</f>
        <v>-3103.0857000000005</v>
      </c>
      <c r="AY235" s="125">
        <f>AI235*Valores!$C$77</f>
        <v>-344.7873000000001</v>
      </c>
      <c r="AZ235" s="125">
        <f t="shared" si="36"/>
        <v>108207.11066666666</v>
      </c>
      <c r="BA235" s="125">
        <f>AI235*Valores!$C$79</f>
        <v>18388.656000000003</v>
      </c>
      <c r="BB235" s="125">
        <f>AI235*Valores!$C$80</f>
        <v>8045.037000000002</v>
      </c>
      <c r="BC235" s="125">
        <f>AI235*Valores!$C$81</f>
        <v>1149.2910000000002</v>
      </c>
      <c r="BD235" s="125">
        <f>AI235*Valores!$C$83</f>
        <v>4022.518500000001</v>
      </c>
      <c r="BE235" s="125">
        <f>AI235*Valores!$C$85</f>
        <v>6206.171400000001</v>
      </c>
      <c r="BF235" s="125">
        <f>AI235*Valores!$C$84</f>
        <v>689.5746000000001</v>
      </c>
      <c r="BG235" s="126"/>
      <c r="BH235" s="126">
        <f t="shared" si="41"/>
        <v>5</v>
      </c>
      <c r="BI235" s="123" t="s">
        <v>4</v>
      </c>
    </row>
    <row r="236" spans="1:61" s="110" customFormat="1" ht="11.25" customHeight="1">
      <c r="A236" s="123" t="s">
        <v>466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42"/>
        <v>395</v>
      </c>
      <c r="F236" s="125">
        <f>ROUND(E236*Valores!$C$2,2)</f>
        <v>32698.1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11126.44</v>
      </c>
      <c r="N236" s="125">
        <f t="shared" si="33"/>
        <v>0</v>
      </c>
      <c r="O236" s="125">
        <f>Valores!$C$7*B236</f>
        <v>14035.75</v>
      </c>
      <c r="P236" s="125">
        <f>ROUND(IF(B236&lt;15,(Valores!$E$5*B236),Valores!$D$5),2)</f>
        <v>14105.7</v>
      </c>
      <c r="Q236" s="125">
        <v>0</v>
      </c>
      <c r="R236" s="125">
        <f>IF($F$4="NO",IF(Valores!$C$50*B236&gt;Valores!$F$47,Valores!$F$47,Valores!$C$50*B236),IF(Valores!$C$50*B236&gt;Valores!$F$47,Valores!$F$47,Valores!$C$50*B236)/2)</f>
        <v>7393.25</v>
      </c>
      <c r="S236" s="125">
        <f>Valores!$C$18*B236</f>
        <v>4414.4</v>
      </c>
      <c r="T236" s="125">
        <f t="shared" si="40"/>
        <v>4414.4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IF(Valores!$C$99*B236&gt;Valores!$C$98,Valores!$C$98,Valores!$C$99*B236)</f>
        <v>13476.35</v>
      </c>
      <c r="AA236" s="125">
        <f>IF((Valores!$C$28)*B236&gt;Valores!$F$28,Valores!$F$28,(Valores!$C$28)*B236)</f>
        <v>346.8</v>
      </c>
      <c r="AB236" s="214">
        <v>0</v>
      </c>
      <c r="AC236" s="125">
        <f t="shared" si="34"/>
        <v>0</v>
      </c>
      <c r="AD236" s="125">
        <f>IF(Valores!$C$29*B236&gt;Valores!$F$29,Valores!$F$29,Valores!$C$29*B236)</f>
        <v>288.8</v>
      </c>
      <c r="AE236" s="192">
        <v>94</v>
      </c>
      <c r="AF236" s="125">
        <f>ROUND(AE236*Valores!$C$2,2)</f>
        <v>7781.32</v>
      </c>
      <c r="AG236" s="125">
        <f>IF($F$4="NO",IF(Valores!$D$64*'Escala Docente'!B236&gt;Valores!$F$64,Valores!$F$64,Valores!$D$64*'Escala Docente'!B236),IF(Valores!$D$64*'Escala Docente'!B236&gt;Valores!$F$64,Valores!$F$64,Valores!$D$64*'Escala Docente'!B236)/2)+0.01</f>
        <v>6595.41</v>
      </c>
      <c r="AH236" s="125">
        <f>SUM(F236,H236,J236,L236,M236,N236,O236,P236,Q236,R236,T236,U236,V236,X236,Y236,Z236,AA236,AC236,AD236,AF236,AG236)*Valores!$C$104</f>
        <v>11226.232000000002</v>
      </c>
      <c r="AI236" s="125">
        <f t="shared" si="37"/>
        <v>123488.55200000001</v>
      </c>
      <c r="AJ236" s="125">
        <f>IF(Valores!$C$33*B236&gt;Valores!$F$33,Valores!$F$33,Valores!$C$33*B236)</f>
        <v>11666.66666666665</v>
      </c>
      <c r="AK236" s="125">
        <v>0</v>
      </c>
      <c r="AL236" s="125">
        <f>IF(Valores!$C$92*B236&gt;Valores!$C$91,Valores!$C$91,Valores!$C$92*B236)</f>
        <v>0</v>
      </c>
      <c r="AM236" s="125">
        <f>IF(Valores!C$40*B236&gt;Valores!F$39,Valores!F$39,Valores!C$40*B236)</f>
        <v>0</v>
      </c>
      <c r="AN236" s="125">
        <f>IF($F$3="NO",0,IF(Valores!$C$63*B236&gt;Valores!$F$63,Valores!$F$63,Valores!$C$63*B236))</f>
        <v>0</v>
      </c>
      <c r="AO236" s="125">
        <f t="shared" si="35"/>
        <v>11666.66666666665</v>
      </c>
      <c r="AP236" s="125">
        <f>AI236*Valores!$C$72</f>
        <v>-13583.740720000002</v>
      </c>
      <c r="AQ236" s="125">
        <f>IF(AI236&lt;Valores!$E$73,-0.02,IF(AI236&lt;Valores!$F$73,-0.03,-0.04))*AI236</f>
        <v>-2469.77104</v>
      </c>
      <c r="AR236" s="125">
        <f>AI236*Valores!$C$75</f>
        <v>-6791.870360000001</v>
      </c>
      <c r="AS236" s="125">
        <f>Valores!$C$102</f>
        <v>-1270.16</v>
      </c>
      <c r="AT236" s="125">
        <f>IF($F$5=0,Valores!$C$103,(Valores!$C$103+$F$5*(Valores!$C$103)))</f>
        <v>-11714</v>
      </c>
      <c r="AU236" s="125">
        <f t="shared" si="38"/>
        <v>99325.67654666665</v>
      </c>
      <c r="AV236" s="125">
        <f t="shared" si="32"/>
        <v>-13583.740720000002</v>
      </c>
      <c r="AW236" s="125">
        <f t="shared" si="39"/>
        <v>-2469.77104</v>
      </c>
      <c r="AX236" s="125">
        <f>AI236*Valores!$C$76</f>
        <v>-3334.190904</v>
      </c>
      <c r="AY236" s="125">
        <f>AI236*Valores!$C$77</f>
        <v>-370.465656</v>
      </c>
      <c r="AZ236" s="125">
        <f t="shared" si="36"/>
        <v>115397.05034666666</v>
      </c>
      <c r="BA236" s="125">
        <f>AI236*Valores!$C$79</f>
        <v>19758.16832</v>
      </c>
      <c r="BB236" s="125">
        <f>AI236*Valores!$C$80</f>
        <v>8644.198640000002</v>
      </c>
      <c r="BC236" s="125">
        <f>AI236*Valores!$C$81</f>
        <v>1234.88552</v>
      </c>
      <c r="BD236" s="125">
        <f>AI236*Valores!$C$83</f>
        <v>4322.099320000001</v>
      </c>
      <c r="BE236" s="125">
        <f>AI236*Valores!$C$85</f>
        <v>6668.381808</v>
      </c>
      <c r="BF236" s="125">
        <f>AI236*Valores!$C$84</f>
        <v>740.931312</v>
      </c>
      <c r="BG236" s="126"/>
      <c r="BH236" s="126">
        <f t="shared" si="41"/>
        <v>5</v>
      </c>
      <c r="BI236" s="123" t="s">
        <v>4</v>
      </c>
    </row>
    <row r="237" spans="1:61" s="110" customFormat="1" ht="11.25" customHeight="1">
      <c r="A237" s="123" t="s">
        <v>466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42"/>
        <v>474</v>
      </c>
      <c r="F237" s="125">
        <f>ROUND(E237*Valores!$C$2,2)</f>
        <v>39237.72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13351.73</v>
      </c>
      <c r="N237" s="125">
        <f t="shared" si="33"/>
        <v>0</v>
      </c>
      <c r="O237" s="125">
        <f>Valores!$C$7*B237</f>
        <v>16842.9</v>
      </c>
      <c r="P237" s="125">
        <f>ROUND(IF(B237&lt;15,(Valores!$E$5*B237),Valores!$D$5),2)</f>
        <v>16926.84</v>
      </c>
      <c r="Q237" s="125">
        <v>0</v>
      </c>
      <c r="R237" s="125">
        <f>IF($F$4="NO",IF(Valores!$C$50*B237&gt;Valores!$F$47,Valores!$F$47,Valores!$C$50*B237),IF(Valores!$C$50*B237&gt;Valores!$F$47,Valores!$F$47,Valores!$C$50*B237)/2)</f>
        <v>8871.900000000001</v>
      </c>
      <c r="S237" s="125">
        <f>Valores!$C$18*B237</f>
        <v>5297.28</v>
      </c>
      <c r="T237" s="125">
        <f t="shared" si="40"/>
        <v>5297.28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IF(Valores!$C$99*B237&gt;Valores!$C$98,Valores!$C$98,Valores!$C$99*B237)</f>
        <v>16171.619999999999</v>
      </c>
      <c r="AA237" s="125">
        <f>IF((Valores!$C$28)*B237&gt;Valores!$F$28,Valores!$F$28,(Valores!$C$28)*B237)</f>
        <v>416.15999999999997</v>
      </c>
      <c r="AB237" s="214">
        <v>0</v>
      </c>
      <c r="AC237" s="125">
        <f t="shared" si="34"/>
        <v>0</v>
      </c>
      <c r="AD237" s="125">
        <f>IF(Valores!$C$29*B237&gt;Valores!$F$29,Valores!$F$29,Valores!$C$29*B237)</f>
        <v>346.56</v>
      </c>
      <c r="AE237" s="192">
        <v>0</v>
      </c>
      <c r="AF237" s="125">
        <f>ROUND(AE237*Valores!$C$2,2)</f>
        <v>0</v>
      </c>
      <c r="AG237" s="125">
        <f>IF($F$4="NO",IF(Valores!$D$64*'Escala Docente'!B237&gt;Valores!$F$64,Valores!$F$64,Valores!$D$64*'Escala Docente'!B237),IF(Valores!$D$64*'Escala Docente'!B237&gt;Valores!$F$64,Valores!$F$64,Valores!$D$64*'Escala Docente'!B237)/2)+0.01</f>
        <v>7914.49</v>
      </c>
      <c r="AH237" s="125">
        <f>SUM(F237,H237,J237,L237,M237,N237,O237,P237,Q237,R237,T237,U237,V237,X237,Y237,Z237,AA237,AC237,AD237,AF237,AG237)*Valores!$C$104</f>
        <v>12537.720000000001</v>
      </c>
      <c r="AI237" s="125">
        <f t="shared" si="37"/>
        <v>137914.91999999998</v>
      </c>
      <c r="AJ237" s="125">
        <f>IF(Valores!$C$33*B237&gt;Valores!$F$33,Valores!$F$33,Valores!$C$33*B237)</f>
        <v>13999.999999999978</v>
      </c>
      <c r="AK237" s="125">
        <v>0</v>
      </c>
      <c r="AL237" s="125">
        <f>IF(Valores!$C$92*B237&gt;Valores!$C$91,Valores!$C$91,Valores!$C$92*B237)</f>
        <v>0</v>
      </c>
      <c r="AM237" s="125">
        <f>IF(Valores!C$40*B237&gt;Valores!F$39,Valores!F$39,Valores!C$40*B237)</f>
        <v>0</v>
      </c>
      <c r="AN237" s="125">
        <f>IF($F$3="NO",0,IF(Valores!$C$63*B237&gt;Valores!$F$63,Valores!$F$63,Valores!$C$63*B237))</f>
        <v>0</v>
      </c>
      <c r="AO237" s="125">
        <f t="shared" si="35"/>
        <v>13999.999999999978</v>
      </c>
      <c r="AP237" s="125">
        <f>AI237*Valores!$C$72</f>
        <v>-15170.641199999998</v>
      </c>
      <c r="AQ237" s="125">
        <f>IF(AI237&lt;Valores!$E$73,-0.02,IF(AI237&lt;Valores!$F$73,-0.03,-0.04))*AI237</f>
        <v>-2758.2983999999997</v>
      </c>
      <c r="AR237" s="125">
        <f>AI237*Valores!$C$75</f>
        <v>-7585.320599999999</v>
      </c>
      <c r="AS237" s="125">
        <f>Valores!$C$102</f>
        <v>-1270.16</v>
      </c>
      <c r="AT237" s="125">
        <f>IF($F$5=0,Valores!$C$103,(Valores!$C$103+$F$5*(Valores!$C$103)))</f>
        <v>-11714</v>
      </c>
      <c r="AU237" s="125">
        <f t="shared" si="38"/>
        <v>113416.49979999996</v>
      </c>
      <c r="AV237" s="125">
        <f t="shared" si="32"/>
        <v>-15170.641199999998</v>
      </c>
      <c r="AW237" s="125">
        <f t="shared" si="39"/>
        <v>-2758.2983999999997</v>
      </c>
      <c r="AX237" s="125">
        <f>AI237*Valores!$C$76</f>
        <v>-3723.7028399999995</v>
      </c>
      <c r="AY237" s="125">
        <f>AI237*Valores!$C$77</f>
        <v>-413.74476</v>
      </c>
      <c r="AZ237" s="125">
        <f t="shared" si="36"/>
        <v>129848.53279999996</v>
      </c>
      <c r="BA237" s="125">
        <f>AI237*Valores!$C$79</f>
        <v>22066.387199999997</v>
      </c>
      <c r="BB237" s="125">
        <f>AI237*Valores!$C$80</f>
        <v>9654.0444</v>
      </c>
      <c r="BC237" s="125">
        <f>AI237*Valores!$C$81</f>
        <v>1379.1491999999998</v>
      </c>
      <c r="BD237" s="125">
        <f>AI237*Valores!$C$83</f>
        <v>4827.0222</v>
      </c>
      <c r="BE237" s="125">
        <f>AI237*Valores!$C$85</f>
        <v>7447.405679999999</v>
      </c>
      <c r="BF237" s="125">
        <f>AI237*Valores!$C$84</f>
        <v>827.48952</v>
      </c>
      <c r="BG237" s="126"/>
      <c r="BH237" s="126">
        <f t="shared" si="41"/>
        <v>6</v>
      </c>
      <c r="BI237" s="123" t="s">
        <v>4</v>
      </c>
    </row>
    <row r="238" spans="1:61" s="110" customFormat="1" ht="11.25" customHeight="1">
      <c r="A238" s="123" t="s">
        <v>466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42"/>
        <v>474</v>
      </c>
      <c r="F238" s="125">
        <f>ROUND(E238*Valores!$C$2,2)</f>
        <v>39237.72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13351.73</v>
      </c>
      <c r="N238" s="125">
        <f t="shared" si="33"/>
        <v>0</v>
      </c>
      <c r="O238" s="125">
        <f>Valores!$C$7*B238</f>
        <v>16842.9</v>
      </c>
      <c r="P238" s="125">
        <f>ROUND(IF(B238&lt;15,(Valores!$E$5*B238),Valores!$D$5),2)</f>
        <v>16926.84</v>
      </c>
      <c r="Q238" s="125">
        <v>0</v>
      </c>
      <c r="R238" s="125">
        <f>IF($F$4="NO",IF(Valores!$C$50*B238&gt;Valores!$F$47,Valores!$F$47,Valores!$C$50*B238),IF(Valores!$C$50*B238&gt;Valores!$F$47,Valores!$F$47,Valores!$C$50*B238)/2)</f>
        <v>8871.900000000001</v>
      </c>
      <c r="S238" s="125">
        <f>Valores!$C$18*B238</f>
        <v>5297.28</v>
      </c>
      <c r="T238" s="125">
        <f t="shared" si="40"/>
        <v>5297.28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IF(Valores!$C$99*B238&gt;Valores!$C$98,Valores!$C$98,Valores!$C$99*B238)</f>
        <v>16171.619999999999</v>
      </c>
      <c r="AA238" s="125">
        <f>IF((Valores!$C$28)*B238&gt;Valores!$F$28,Valores!$F$28,(Valores!$C$28)*B238)</f>
        <v>416.15999999999997</v>
      </c>
      <c r="AB238" s="214">
        <v>0</v>
      </c>
      <c r="AC238" s="125">
        <f t="shared" si="34"/>
        <v>0</v>
      </c>
      <c r="AD238" s="125">
        <f>IF(Valores!$C$29*B238&gt;Valores!$F$29,Valores!$F$29,Valores!$C$29*B238)</f>
        <v>346.56</v>
      </c>
      <c r="AE238" s="192">
        <v>94</v>
      </c>
      <c r="AF238" s="125">
        <f>ROUND(AE238*Valores!$C$2,2)</f>
        <v>7781.32</v>
      </c>
      <c r="AG238" s="125">
        <f>IF($F$4="NO",IF(Valores!$D$64*'Escala Docente'!B238&gt;Valores!$F$64,Valores!$F$64,Valores!$D$64*'Escala Docente'!B238),IF(Valores!$D$64*'Escala Docente'!B238&gt;Valores!$F$64,Valores!$F$64,Valores!$D$64*'Escala Docente'!B238)/2)+0.01</f>
        <v>7914.49</v>
      </c>
      <c r="AH238" s="125">
        <f>SUM(F238,H238,J238,L238,M238,N238,O238,P238,Q238,R238,T238,U238,V238,X238,Y238,Z238,AA238,AC238,AD238,AF238,AG238)*Valores!$C$104</f>
        <v>13315.851999999999</v>
      </c>
      <c r="AI238" s="125">
        <f t="shared" si="37"/>
        <v>146474.37199999997</v>
      </c>
      <c r="AJ238" s="125">
        <f>IF(Valores!$C$33*B238&gt;Valores!$F$33,Valores!$F$33,Valores!$C$33*B238)</f>
        <v>13999.999999999978</v>
      </c>
      <c r="AK238" s="125">
        <v>0</v>
      </c>
      <c r="AL238" s="125">
        <f>IF(Valores!$C$92*B238&gt;Valores!$C$91,Valores!$C$91,Valores!$C$92*B238)</f>
        <v>0</v>
      </c>
      <c r="AM238" s="125">
        <f>IF(Valores!C$40*B238&gt;Valores!F$39,Valores!F$39,Valores!C$40*B238)</f>
        <v>0</v>
      </c>
      <c r="AN238" s="125">
        <f>IF($F$3="NO",0,IF(Valores!$C$63*B238&gt;Valores!$F$63,Valores!$F$63,Valores!$C$63*B238))</f>
        <v>0</v>
      </c>
      <c r="AO238" s="125">
        <f t="shared" si="35"/>
        <v>13999.999999999978</v>
      </c>
      <c r="AP238" s="125">
        <f>AI238*Valores!$C$72</f>
        <v>-16112.180919999997</v>
      </c>
      <c r="AQ238" s="125">
        <f>IF(AI238&lt;Valores!$E$73,-0.02,IF(AI238&lt;Valores!$F$73,-0.03,-0.04))*AI238</f>
        <v>-2929.4874399999994</v>
      </c>
      <c r="AR238" s="125">
        <f>AI238*Valores!$C$75</f>
        <v>-8056.0904599999985</v>
      </c>
      <c r="AS238" s="125">
        <f>Valores!$C$102</f>
        <v>-1270.16</v>
      </c>
      <c r="AT238" s="125">
        <f>IF($F$5=0,Valores!$C$103,(Valores!$C$103+$F$5*(Valores!$C$103)))</f>
        <v>-11714</v>
      </c>
      <c r="AU238" s="125">
        <f t="shared" si="38"/>
        <v>120392.45317999995</v>
      </c>
      <c r="AV238" s="125">
        <f t="shared" si="32"/>
        <v>-16112.180919999997</v>
      </c>
      <c r="AW238" s="125">
        <f t="shared" si="39"/>
        <v>-2929.4874399999994</v>
      </c>
      <c r="AX238" s="125">
        <f>AI238*Valores!$C$76</f>
        <v>-3954.8080439999994</v>
      </c>
      <c r="AY238" s="125">
        <f>AI238*Valores!$C$77</f>
        <v>-439.42311599999994</v>
      </c>
      <c r="AZ238" s="125">
        <f t="shared" si="36"/>
        <v>137038.47247999994</v>
      </c>
      <c r="BA238" s="125">
        <f>AI238*Valores!$C$79</f>
        <v>23435.899519999995</v>
      </c>
      <c r="BB238" s="125">
        <f>AI238*Valores!$C$80</f>
        <v>10253.20604</v>
      </c>
      <c r="BC238" s="125">
        <f>AI238*Valores!$C$81</f>
        <v>1464.7437199999997</v>
      </c>
      <c r="BD238" s="125">
        <f>AI238*Valores!$C$83</f>
        <v>5126.60302</v>
      </c>
      <c r="BE238" s="125">
        <f>AI238*Valores!$C$85</f>
        <v>7909.616087999999</v>
      </c>
      <c r="BF238" s="125">
        <f>AI238*Valores!$C$84</f>
        <v>878.8462319999999</v>
      </c>
      <c r="BG238" s="126"/>
      <c r="BH238" s="126">
        <f t="shared" si="41"/>
        <v>6</v>
      </c>
      <c r="BI238" s="123" t="s">
        <v>4</v>
      </c>
    </row>
    <row r="239" spans="1:61" s="110" customFormat="1" ht="11.25" customHeight="1">
      <c r="A239" s="123" t="s">
        <v>466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42"/>
        <v>553</v>
      </c>
      <c r="F239" s="125">
        <f>ROUND(E239*Valores!$C$2,2)</f>
        <v>45777.34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15577.01</v>
      </c>
      <c r="N239" s="125">
        <f t="shared" si="33"/>
        <v>0</v>
      </c>
      <c r="O239" s="125">
        <f>Valores!$C$7*B239</f>
        <v>19650.05</v>
      </c>
      <c r="P239" s="125">
        <f>ROUND(IF(B239&lt;15,(Valores!$E$5*B239),Valores!$D$5),2)</f>
        <v>19747.98</v>
      </c>
      <c r="Q239" s="125">
        <v>0</v>
      </c>
      <c r="R239" s="125">
        <f>IF($F$4="NO",IF(Valores!$C$50*B239&gt;Valores!$F$47,Valores!$F$47,Valores!$C$50*B239),IF(Valores!$C$50*B239&gt;Valores!$F$47,Valores!$F$47,Valores!$C$50*B239)/2)</f>
        <v>10350.550000000001</v>
      </c>
      <c r="S239" s="125">
        <f>Valores!$C$18*B239</f>
        <v>6180.16</v>
      </c>
      <c r="T239" s="125">
        <f t="shared" si="40"/>
        <v>6180.16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IF(Valores!$C$99*B239&gt;Valores!$C$98,Valores!$C$98,Valores!$C$99*B239)</f>
        <v>18866.89</v>
      </c>
      <c r="AA239" s="125">
        <f>IF((Valores!$C$28)*B239&gt;Valores!$F$28,Valores!$F$28,(Valores!$C$28)*B239)</f>
        <v>485.52</v>
      </c>
      <c r="AB239" s="214">
        <v>0</v>
      </c>
      <c r="AC239" s="125">
        <f t="shared" si="34"/>
        <v>0</v>
      </c>
      <c r="AD239" s="125">
        <f>IF(Valores!$C$29*B239&gt;Valores!$F$29,Valores!$F$29,Valores!$C$29*B239)</f>
        <v>404.32</v>
      </c>
      <c r="AE239" s="192">
        <v>0</v>
      </c>
      <c r="AF239" s="125">
        <f>ROUND(AE239*Valores!$C$2,2)</f>
        <v>0</v>
      </c>
      <c r="AG239" s="125">
        <f>IF($F$4="NO",IF(Valores!$D$64*'Escala Docente'!B239&gt;Valores!$F$64,Valores!$F$64,Valores!$D$64*'Escala Docente'!B239),IF(Valores!$D$64*'Escala Docente'!B239&gt;Valores!$F$64,Valores!$F$64,Valores!$D$64*'Escala Docente'!B239)/2)+0.01</f>
        <v>9233.57</v>
      </c>
      <c r="AH239" s="125">
        <f>SUM(F239,H239,J239,L239,M239,N239,O239,P239,Q239,R239,T239,U239,V239,X239,Y239,Z239,AA239,AC239,AD239,AF239,AG239)*Valores!$C$104</f>
        <v>14627.339</v>
      </c>
      <c r="AI239" s="125">
        <f t="shared" si="37"/>
        <v>160900.729</v>
      </c>
      <c r="AJ239" s="125">
        <f>IF(Valores!$C$33*B239&gt;Valores!$F$33,Valores!$F$33,Valores!$C$33*B239)</f>
        <v>16333.333333333308</v>
      </c>
      <c r="AK239" s="125">
        <v>0</v>
      </c>
      <c r="AL239" s="125">
        <f>IF(Valores!$C$92*B239&gt;Valores!$C$91,Valores!$C$91,Valores!$C$92*B239)</f>
        <v>0</v>
      </c>
      <c r="AM239" s="125">
        <f>IF(Valores!C$40*B239&gt;Valores!F$39,Valores!F$39,Valores!C$40*B239)</f>
        <v>0</v>
      </c>
      <c r="AN239" s="125">
        <f>IF($F$3="NO",0,IF(Valores!$C$63*B239&gt;Valores!$F$63,Valores!$F$63,Valores!$C$63*B239))</f>
        <v>0</v>
      </c>
      <c r="AO239" s="125">
        <f t="shared" si="35"/>
        <v>16333.333333333308</v>
      </c>
      <c r="AP239" s="125">
        <f>AI239*Valores!$C$72</f>
        <v>-17699.08019</v>
      </c>
      <c r="AQ239" s="125">
        <f>IF(AI239&lt;Valores!$E$73,-0.02,IF(AI239&lt;Valores!$F$73,-0.03,-0.04))*AI239</f>
        <v>-3218.01458</v>
      </c>
      <c r="AR239" s="125">
        <f>AI239*Valores!$C$75</f>
        <v>-8849.540095</v>
      </c>
      <c r="AS239" s="125">
        <f>Valores!$C$102</f>
        <v>-1270.16</v>
      </c>
      <c r="AT239" s="125">
        <f>IF($F$5=0,Valores!$C$103,(Valores!$C$103+$F$5*(Valores!$C$103)))</f>
        <v>-11714</v>
      </c>
      <c r="AU239" s="125">
        <f t="shared" si="38"/>
        <v>134483.2674683333</v>
      </c>
      <c r="AV239" s="125">
        <f t="shared" si="32"/>
        <v>-17699.08019</v>
      </c>
      <c r="AW239" s="125">
        <f t="shared" si="39"/>
        <v>-3218.01458</v>
      </c>
      <c r="AX239" s="125">
        <f>AI239*Valores!$C$76</f>
        <v>-4344.319683</v>
      </c>
      <c r="AY239" s="125">
        <f>AI239*Valores!$C$77</f>
        <v>-482.702187</v>
      </c>
      <c r="AZ239" s="125">
        <f t="shared" si="36"/>
        <v>151489.9456933333</v>
      </c>
      <c r="BA239" s="125">
        <f>AI239*Valores!$C$79</f>
        <v>25744.11664</v>
      </c>
      <c r="BB239" s="125">
        <f>AI239*Valores!$C$80</f>
        <v>11263.05103</v>
      </c>
      <c r="BC239" s="125">
        <f>AI239*Valores!$C$81</f>
        <v>1609.00729</v>
      </c>
      <c r="BD239" s="125">
        <f>AI239*Valores!$C$83</f>
        <v>5631.525515</v>
      </c>
      <c r="BE239" s="125">
        <f>AI239*Valores!$C$85</f>
        <v>8688.639366</v>
      </c>
      <c r="BF239" s="125">
        <f>AI239*Valores!$C$84</f>
        <v>965.404374</v>
      </c>
      <c r="BG239" s="126"/>
      <c r="BH239" s="126">
        <f t="shared" si="41"/>
        <v>7</v>
      </c>
      <c r="BI239" s="123" t="s">
        <v>4</v>
      </c>
    </row>
    <row r="240" spans="1:61" s="110" customFormat="1" ht="11.25" customHeight="1">
      <c r="A240" s="123" t="s">
        <v>466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42"/>
        <v>553</v>
      </c>
      <c r="F240" s="125">
        <f>ROUND(E240*Valores!$C$2,2)</f>
        <v>45777.34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15577.01</v>
      </c>
      <c r="N240" s="125">
        <f t="shared" si="33"/>
        <v>0</v>
      </c>
      <c r="O240" s="125">
        <f>Valores!$C$7*B240</f>
        <v>19650.05</v>
      </c>
      <c r="P240" s="125">
        <f>ROUND(IF(B240&lt;15,(Valores!$E$5*B240),Valores!$D$5),2)</f>
        <v>19747.98</v>
      </c>
      <c r="Q240" s="125">
        <v>0</v>
      </c>
      <c r="R240" s="125">
        <f>IF($F$4="NO",IF(Valores!$C$50*B240&gt;Valores!$F$47,Valores!$F$47,Valores!$C$50*B240),IF(Valores!$C$50*B240&gt;Valores!$F$47,Valores!$F$47,Valores!$C$50*B240)/2)</f>
        <v>10350.550000000001</v>
      </c>
      <c r="S240" s="125">
        <f>Valores!$C$18*B240</f>
        <v>6180.16</v>
      </c>
      <c r="T240" s="125">
        <f t="shared" si="40"/>
        <v>6180.16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IF(Valores!$C$99*B240&gt;Valores!$C$98,Valores!$C$98,Valores!$C$99*B240)</f>
        <v>18866.89</v>
      </c>
      <c r="AA240" s="125">
        <f>IF((Valores!$C$28)*B240&gt;Valores!$F$28,Valores!$F$28,(Valores!$C$28)*B240)</f>
        <v>485.52</v>
      </c>
      <c r="AB240" s="214">
        <v>0</v>
      </c>
      <c r="AC240" s="125">
        <f t="shared" si="34"/>
        <v>0</v>
      </c>
      <c r="AD240" s="125">
        <f>IF(Valores!$C$29*B240&gt;Valores!$F$29,Valores!$F$29,Valores!$C$29*B240)</f>
        <v>404.32</v>
      </c>
      <c r="AE240" s="192">
        <v>94</v>
      </c>
      <c r="AF240" s="125">
        <f>ROUND(AE240*Valores!$C$2,2)</f>
        <v>7781.32</v>
      </c>
      <c r="AG240" s="125">
        <f>IF($F$4="NO",IF(Valores!$D$64*'Escala Docente'!B240&gt;Valores!$F$64,Valores!$F$64,Valores!$D$64*'Escala Docente'!B240),IF(Valores!$D$64*'Escala Docente'!B240&gt;Valores!$F$64,Valores!$F$64,Valores!$D$64*'Escala Docente'!B240)/2)+0.01</f>
        <v>9233.57</v>
      </c>
      <c r="AH240" s="125">
        <f>SUM(F240,H240,J240,L240,M240,N240,O240,P240,Q240,R240,T240,U240,V240,X240,Y240,Z240,AA240,AC240,AD240,AF240,AG240)*Valores!$C$104</f>
        <v>15405.471</v>
      </c>
      <c r="AI240" s="125">
        <f t="shared" si="37"/>
        <v>169460.18099999998</v>
      </c>
      <c r="AJ240" s="125">
        <f>IF(Valores!$C$33*B240&gt;Valores!$F$33,Valores!$F$33,Valores!$C$33*B240)</f>
        <v>16333.333333333308</v>
      </c>
      <c r="AK240" s="125">
        <v>0</v>
      </c>
      <c r="AL240" s="125">
        <f>IF(Valores!$C$92*B240&gt;Valores!$C$91,Valores!$C$91,Valores!$C$92*B240)</f>
        <v>0</v>
      </c>
      <c r="AM240" s="125">
        <f>IF(Valores!C$40*B240&gt;Valores!F$39,Valores!F$39,Valores!C$40*B240)</f>
        <v>0</v>
      </c>
      <c r="AN240" s="125">
        <f>IF($F$3="NO",0,IF(Valores!$C$63*B240&gt;Valores!$F$63,Valores!$F$63,Valores!$C$63*B240))</f>
        <v>0</v>
      </c>
      <c r="AO240" s="125">
        <f t="shared" si="35"/>
        <v>16333.333333333308</v>
      </c>
      <c r="AP240" s="125">
        <f>AI240*Valores!$C$72</f>
        <v>-18640.619909999998</v>
      </c>
      <c r="AQ240" s="125">
        <f>IF(AI240&lt;Valores!$E$73,-0.02,IF(AI240&lt;Valores!$F$73,-0.03,-0.04))*AI240</f>
        <v>-3389.20362</v>
      </c>
      <c r="AR240" s="125">
        <f>AI240*Valores!$C$75</f>
        <v>-9320.309954999999</v>
      </c>
      <c r="AS240" s="125">
        <f>Valores!$C$102</f>
        <v>-1270.16</v>
      </c>
      <c r="AT240" s="125">
        <f>IF($F$5=0,Valores!$C$103,(Valores!$C$103+$F$5*(Valores!$C$103)))</f>
        <v>-11714</v>
      </c>
      <c r="AU240" s="125">
        <f t="shared" si="38"/>
        <v>141459.2208483333</v>
      </c>
      <c r="AV240" s="125">
        <f t="shared" si="32"/>
        <v>-18640.619909999998</v>
      </c>
      <c r="AW240" s="125">
        <f t="shared" si="39"/>
        <v>-3389.20362</v>
      </c>
      <c r="AX240" s="125">
        <f>AI240*Valores!$C$76</f>
        <v>-4575.424886999999</v>
      </c>
      <c r="AY240" s="125">
        <f>AI240*Valores!$C$77</f>
        <v>-508.38054299999993</v>
      </c>
      <c r="AZ240" s="125">
        <f t="shared" si="36"/>
        <v>158679.8853733333</v>
      </c>
      <c r="BA240" s="125">
        <f>AI240*Valores!$C$79</f>
        <v>27113.62896</v>
      </c>
      <c r="BB240" s="125">
        <f>AI240*Valores!$C$80</f>
        <v>11862.21267</v>
      </c>
      <c r="BC240" s="125">
        <f>AI240*Valores!$C$81</f>
        <v>1694.60181</v>
      </c>
      <c r="BD240" s="125">
        <f>AI240*Valores!$C$83</f>
        <v>5931.106335</v>
      </c>
      <c r="BE240" s="125">
        <f>AI240*Valores!$C$85</f>
        <v>9150.849773999998</v>
      </c>
      <c r="BF240" s="125">
        <f>AI240*Valores!$C$84</f>
        <v>1016.7610859999999</v>
      </c>
      <c r="BG240" s="126"/>
      <c r="BH240" s="126">
        <f t="shared" si="41"/>
        <v>7</v>
      </c>
      <c r="BI240" s="123" t="s">
        <v>4</v>
      </c>
    </row>
    <row r="241" spans="1:61" s="110" customFormat="1" ht="11.25" customHeight="1">
      <c r="A241" s="123" t="s">
        <v>466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42"/>
        <v>632</v>
      </c>
      <c r="F241" s="125">
        <f>ROUND(E241*Valores!$C$2,2)</f>
        <v>52316.96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17802.3</v>
      </c>
      <c r="N241" s="125">
        <f t="shared" si="33"/>
        <v>0</v>
      </c>
      <c r="O241" s="125">
        <f>Valores!$C$7*B241</f>
        <v>22457.2</v>
      </c>
      <c r="P241" s="125">
        <f>ROUND(IF(B241&lt;15,(Valores!$E$5*B241),Valores!$D$5),2)</f>
        <v>22569.12</v>
      </c>
      <c r="Q241" s="125">
        <v>0</v>
      </c>
      <c r="R241" s="125">
        <f>IF($F$4="NO",IF(Valores!$C$50*B241&gt;Valores!$F$47,Valores!$F$47,Valores!$C$50*B241),IF(Valores!$C$50*B241&gt;Valores!$F$47,Valores!$F$47,Valores!$C$50*B241)/2)</f>
        <v>11829.2</v>
      </c>
      <c r="S241" s="125">
        <f>Valores!$C$18*B241</f>
        <v>7063.04</v>
      </c>
      <c r="T241" s="125">
        <f t="shared" si="40"/>
        <v>7063.04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IF(Valores!$C$99*B241&gt;Valores!$C$98,Valores!$C$98,Valores!$C$99*B241)</f>
        <v>21562.16</v>
      </c>
      <c r="AA241" s="125">
        <f>IF((Valores!$C$28)*B241&gt;Valores!$F$28,Valores!$F$28,(Valores!$C$28)*B241)</f>
        <v>554.88</v>
      </c>
      <c r="AB241" s="214">
        <v>0</v>
      </c>
      <c r="AC241" s="125">
        <f t="shared" si="34"/>
        <v>0</v>
      </c>
      <c r="AD241" s="125">
        <f>IF(Valores!$C$29*B241&gt;Valores!$F$29,Valores!$F$29,Valores!$C$29*B241)</f>
        <v>462.08</v>
      </c>
      <c r="AE241" s="192">
        <v>0</v>
      </c>
      <c r="AF241" s="125">
        <f>ROUND(AE241*Valores!$C$2,2)</f>
        <v>0</v>
      </c>
      <c r="AG241" s="125">
        <f>IF($F$4="NO",IF(Valores!$D$64*'Escala Docente'!B241&gt;Valores!$F$64,Valores!$F$64,Valores!$D$64*'Escala Docente'!B241),IF(Valores!$D$64*'Escala Docente'!B241&gt;Valores!$F$64,Valores!$F$64,Valores!$D$64*'Escala Docente'!B241)/2)+0.02</f>
        <v>10552.66</v>
      </c>
      <c r="AH241" s="125">
        <f>SUM(F241,H241,J241,L241,M241,N241,O241,P241,Q241,R241,T241,U241,V241,X241,Y241,Z241,AA241,AC241,AD241,AF241,AG241)*Valores!$C$104</f>
        <v>16716.96</v>
      </c>
      <c r="AI241" s="125">
        <f t="shared" si="37"/>
        <v>183886.55999999997</v>
      </c>
      <c r="AJ241" s="125">
        <f>IF(Valores!$C$33*B241&gt;Valores!$F$33,Valores!$F$33,Valores!$C$33*B241)</f>
        <v>18666.66666666664</v>
      </c>
      <c r="AK241" s="125">
        <v>0</v>
      </c>
      <c r="AL241" s="125">
        <f>IF(Valores!$C$92*B241&gt;Valores!$C$91,Valores!$C$91,Valores!$C$92*B241)</f>
        <v>0</v>
      </c>
      <c r="AM241" s="125">
        <f>IF(Valores!C$40*B241&gt;Valores!F$39,Valores!F$39,Valores!C$40*B241)</f>
        <v>0</v>
      </c>
      <c r="AN241" s="125">
        <f>IF($F$3="NO",0,IF(Valores!$C$63*B241&gt;Valores!$F$63,Valores!$F$63,Valores!$C$63*B241))</f>
        <v>0</v>
      </c>
      <c r="AO241" s="125">
        <f t="shared" si="35"/>
        <v>18666.66666666664</v>
      </c>
      <c r="AP241" s="125">
        <f>AI241*Valores!$C$72</f>
        <v>-20227.521599999996</v>
      </c>
      <c r="AQ241" s="125">
        <f>IF(AI241&lt;Valores!$E$73,-0.02,IF(AI241&lt;Valores!$F$73,-0.03,-0.04))*AI241</f>
        <v>-3677.7311999999993</v>
      </c>
      <c r="AR241" s="125">
        <f>AI241*Valores!$C$75</f>
        <v>-10113.760799999998</v>
      </c>
      <c r="AS241" s="125">
        <f>Valores!$C$102</f>
        <v>-1270.16</v>
      </c>
      <c r="AT241" s="125">
        <f>IF($F$5=0,Valores!$C$103,(Valores!$C$103+$F$5*(Valores!$C$103)))</f>
        <v>-11714</v>
      </c>
      <c r="AU241" s="125">
        <f t="shared" si="38"/>
        <v>155550.05306666662</v>
      </c>
      <c r="AV241" s="125">
        <f t="shared" si="32"/>
        <v>-20227.521599999996</v>
      </c>
      <c r="AW241" s="125">
        <f t="shared" si="39"/>
        <v>-3677.7311999999993</v>
      </c>
      <c r="AX241" s="125">
        <f>AI241*Valores!$C$76</f>
        <v>-4964.937119999999</v>
      </c>
      <c r="AY241" s="125">
        <f>AI241*Valores!$C$77</f>
        <v>-551.6596799999999</v>
      </c>
      <c r="AZ241" s="125">
        <f t="shared" si="36"/>
        <v>173131.3770666666</v>
      </c>
      <c r="BA241" s="125">
        <f>AI241*Valores!$C$79</f>
        <v>29421.849599999994</v>
      </c>
      <c r="BB241" s="125">
        <f>AI241*Valores!$C$80</f>
        <v>12872.0592</v>
      </c>
      <c r="BC241" s="125">
        <f>AI241*Valores!$C$81</f>
        <v>1838.8655999999996</v>
      </c>
      <c r="BD241" s="125">
        <f>AI241*Valores!$C$83</f>
        <v>6436.0296</v>
      </c>
      <c r="BE241" s="125">
        <f>AI241*Valores!$C$85</f>
        <v>9929.874239999997</v>
      </c>
      <c r="BF241" s="125">
        <f>AI241*Valores!$C$84</f>
        <v>1103.3193599999997</v>
      </c>
      <c r="BG241" s="126"/>
      <c r="BH241" s="126">
        <f t="shared" si="41"/>
        <v>8</v>
      </c>
      <c r="BI241" s="123" t="s">
        <v>4</v>
      </c>
    </row>
    <row r="242" spans="1:61" s="110" customFormat="1" ht="11.25" customHeight="1">
      <c r="A242" s="123" t="s">
        <v>466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42"/>
        <v>632</v>
      </c>
      <c r="F242" s="125">
        <f>ROUND(E242*Valores!$C$2,2)</f>
        <v>52316.96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17802.3</v>
      </c>
      <c r="N242" s="125">
        <f t="shared" si="33"/>
        <v>0</v>
      </c>
      <c r="O242" s="125">
        <f>Valores!$C$7*B242</f>
        <v>22457.2</v>
      </c>
      <c r="P242" s="125">
        <f>ROUND(IF(B242&lt;15,(Valores!$E$5*B242),Valores!$D$5),2)</f>
        <v>22569.12</v>
      </c>
      <c r="Q242" s="125">
        <v>0</v>
      </c>
      <c r="R242" s="125">
        <f>IF($F$4="NO",IF(Valores!$C$50*B242&gt;Valores!$F$47,Valores!$F$47,Valores!$C$50*B242),IF(Valores!$C$50*B242&gt;Valores!$F$47,Valores!$F$47,Valores!$C$50*B242)/2)</f>
        <v>11829.2</v>
      </c>
      <c r="S242" s="125">
        <f>Valores!$C$18*B242</f>
        <v>7063.04</v>
      </c>
      <c r="T242" s="125">
        <f t="shared" si="40"/>
        <v>7063.04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IF(Valores!$C$99*B242&gt;Valores!$C$98,Valores!$C$98,Valores!$C$99*B242)</f>
        <v>21562.16</v>
      </c>
      <c r="AA242" s="125">
        <f>IF((Valores!$C$28)*B242&gt;Valores!$F$28,Valores!$F$28,(Valores!$C$28)*B242)</f>
        <v>554.88</v>
      </c>
      <c r="AB242" s="214">
        <v>0</v>
      </c>
      <c r="AC242" s="125">
        <f t="shared" si="34"/>
        <v>0</v>
      </c>
      <c r="AD242" s="125">
        <f>IF(Valores!$C$29*B242&gt;Valores!$F$29,Valores!$F$29,Valores!$C$29*B242)</f>
        <v>462.08</v>
      </c>
      <c r="AE242" s="192">
        <v>94</v>
      </c>
      <c r="AF242" s="125">
        <f>ROUND(AE242*Valores!$C$2,2)</f>
        <v>7781.32</v>
      </c>
      <c r="AG242" s="125">
        <f>IF($F$4="NO",IF(Valores!$D$64*'Escala Docente'!B242&gt;Valores!$F$64,Valores!$F$64,Valores!$D$64*'Escala Docente'!B242),IF(Valores!$D$64*'Escala Docente'!B242&gt;Valores!$F$64,Valores!$F$64,Valores!$D$64*'Escala Docente'!B242)/2)+0.02</f>
        <v>10552.66</v>
      </c>
      <c r="AH242" s="125">
        <f>SUM(F242,H242,J242,L242,M242,N242,O242,P242,Q242,R242,T242,U242,V242,X242,Y242,Z242,AA242,AC242,AD242,AF242,AG242)*Valores!$C$104</f>
        <v>17495.092</v>
      </c>
      <c r="AI242" s="125">
        <f t="shared" si="37"/>
        <v>192446.012</v>
      </c>
      <c r="AJ242" s="125">
        <f>IF(Valores!$C$33*B242&gt;Valores!$F$33,Valores!$F$33,Valores!$C$33*B242)</f>
        <v>18666.66666666664</v>
      </c>
      <c r="AK242" s="125">
        <v>0</v>
      </c>
      <c r="AL242" s="125">
        <f>IF(Valores!$C$92*B242&gt;Valores!$C$91,Valores!$C$91,Valores!$C$92*B242)</f>
        <v>0</v>
      </c>
      <c r="AM242" s="125">
        <f>IF(Valores!C$40*B242&gt;Valores!F$39,Valores!F$39,Valores!C$40*B242)</f>
        <v>0</v>
      </c>
      <c r="AN242" s="125">
        <f>IF($F$3="NO",0,IF(Valores!$C$63*B242&gt;Valores!$F$63,Valores!$F$63,Valores!$C$63*B242))</f>
        <v>0</v>
      </c>
      <c r="AO242" s="125">
        <f t="shared" si="35"/>
        <v>18666.66666666664</v>
      </c>
      <c r="AP242" s="125">
        <f>AI242*Valores!$C$72</f>
        <v>-21169.061319999997</v>
      </c>
      <c r="AQ242" s="125">
        <f>IF(AI242&lt;Valores!$E$73,-0.02,IF(AI242&lt;Valores!$F$73,-0.03,-0.04))*AI242</f>
        <v>-3848.92024</v>
      </c>
      <c r="AR242" s="125">
        <f>AI242*Valores!$C$75</f>
        <v>-10584.530659999999</v>
      </c>
      <c r="AS242" s="125">
        <f>Valores!$C$102</f>
        <v>-1270.16</v>
      </c>
      <c r="AT242" s="125">
        <f>IF($F$5=0,Valores!$C$103,(Valores!$C$103+$F$5*(Valores!$C$103)))</f>
        <v>-11714</v>
      </c>
      <c r="AU242" s="125">
        <f t="shared" si="38"/>
        <v>162526.00644666664</v>
      </c>
      <c r="AV242" s="125">
        <f t="shared" si="32"/>
        <v>-21169.061319999997</v>
      </c>
      <c r="AW242" s="125">
        <f t="shared" si="39"/>
        <v>-3848.92024</v>
      </c>
      <c r="AX242" s="125">
        <f>AI242*Valores!$C$76</f>
        <v>-5196.042324</v>
      </c>
      <c r="AY242" s="125">
        <f>AI242*Valores!$C$77</f>
        <v>-577.338036</v>
      </c>
      <c r="AZ242" s="125">
        <f t="shared" si="36"/>
        <v>180321.31674666662</v>
      </c>
      <c r="BA242" s="125">
        <f>AI242*Valores!$C$79</f>
        <v>30791.36192</v>
      </c>
      <c r="BB242" s="125">
        <f>AI242*Valores!$C$80</f>
        <v>13471.22084</v>
      </c>
      <c r="BC242" s="125">
        <f>AI242*Valores!$C$81</f>
        <v>1924.46012</v>
      </c>
      <c r="BD242" s="125">
        <f>AI242*Valores!$C$83</f>
        <v>6735.61042</v>
      </c>
      <c r="BE242" s="125">
        <f>AI242*Valores!$C$85</f>
        <v>10392.084648</v>
      </c>
      <c r="BF242" s="125">
        <f>AI242*Valores!$C$84</f>
        <v>1154.676072</v>
      </c>
      <c r="BG242" s="126"/>
      <c r="BH242" s="126">
        <f t="shared" si="41"/>
        <v>8</v>
      </c>
      <c r="BI242" s="123" t="s">
        <v>4</v>
      </c>
    </row>
    <row r="243" spans="1:61" s="110" customFormat="1" ht="11.25" customHeight="1">
      <c r="A243" s="123" t="s">
        <v>466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42"/>
        <v>711</v>
      </c>
      <c r="F243" s="125">
        <f>ROUND(E243*Valores!$C$2,2)</f>
        <v>58856.58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20027.59</v>
      </c>
      <c r="N243" s="125">
        <f t="shared" si="33"/>
        <v>0</v>
      </c>
      <c r="O243" s="125">
        <f>Valores!$C$7*B243</f>
        <v>25264.350000000002</v>
      </c>
      <c r="P243" s="125">
        <f>ROUND(IF(B243&lt;15,(Valores!$E$5*B243),Valores!$D$5),2)</f>
        <v>25390.26</v>
      </c>
      <c r="Q243" s="125">
        <v>0</v>
      </c>
      <c r="R243" s="125">
        <f>IF($F$4="NO",IF(Valores!$C$50*B243&gt;Valores!$F$47,Valores!$F$47,Valores!$C$50*B243),IF(Valores!$C$50*B243&gt;Valores!$F$47,Valores!$F$47,Valores!$C$50*B243)/2)</f>
        <v>13307.85</v>
      </c>
      <c r="S243" s="125">
        <f>Valores!$C$18*B243</f>
        <v>7945.92</v>
      </c>
      <c r="T243" s="125">
        <f t="shared" si="40"/>
        <v>7945.92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IF(Valores!$C$99*B243&gt;Valores!$C$98,Valores!$C$98,Valores!$C$99*B243)</f>
        <v>24257.43</v>
      </c>
      <c r="AA243" s="125">
        <f>IF((Valores!$C$28)*B243&gt;Valores!$F$28,Valores!$F$28,(Valores!$C$28)*B243)</f>
        <v>624.24</v>
      </c>
      <c r="AB243" s="214">
        <v>0</v>
      </c>
      <c r="AC243" s="125">
        <f t="shared" si="34"/>
        <v>0</v>
      </c>
      <c r="AD243" s="125">
        <f>IF(Valores!$C$29*B243&gt;Valores!$F$29,Valores!$F$29,Valores!$C$29*B243)</f>
        <v>519.84</v>
      </c>
      <c r="AE243" s="192">
        <v>0</v>
      </c>
      <c r="AF243" s="125">
        <f>ROUND(AE243*Valores!$C$2,2)</f>
        <v>0</v>
      </c>
      <c r="AG243" s="125">
        <f>IF($F$4="NO",IF(Valores!$D$64*'Escala Docente'!B243&gt;Valores!$F$64,Valores!$F$64,Valores!$D$64*'Escala Docente'!B243),IF(Valores!$D$64*'Escala Docente'!B243&gt;Valores!$F$64,Valores!$F$64,Valores!$D$64*'Escala Docente'!B243)/2)+0.02</f>
        <v>11871.74</v>
      </c>
      <c r="AH243" s="125">
        <f>SUM(F243,H243,J243,L243,M243,N243,O243,P243,Q243,R243,T243,U243,V243,X243,Y243,Z243,AA243,AC243,AD243,AF243,AG243)*Valores!$C$104</f>
        <v>18806.579999999998</v>
      </c>
      <c r="AI243" s="125">
        <f t="shared" si="37"/>
        <v>206872.37999999998</v>
      </c>
      <c r="AJ243" s="125">
        <f>IF(Valores!$C$33*B243&gt;Valores!$F$33,Valores!$F$33,Valores!$C$33*B243)</f>
        <v>20999.999999999967</v>
      </c>
      <c r="AK243" s="125">
        <v>0</v>
      </c>
      <c r="AL243" s="125">
        <f>IF(Valores!$C$92*B243&gt;Valores!$C$91,Valores!$C$91,Valores!$C$92*B243)</f>
        <v>0</v>
      </c>
      <c r="AM243" s="125">
        <f>IF(Valores!C$40*B243&gt;Valores!F$39,Valores!F$39,Valores!C$40*B243)</f>
        <v>0</v>
      </c>
      <c r="AN243" s="125">
        <f>IF($F$3="NO",0,IF(Valores!$C$63*B243&gt;Valores!$F$63,Valores!$F$63,Valores!$C$63*B243))</f>
        <v>0</v>
      </c>
      <c r="AO243" s="125">
        <f t="shared" si="35"/>
        <v>20999.999999999967</v>
      </c>
      <c r="AP243" s="125">
        <f>AI243*Valores!$C$72</f>
        <v>-22755.961799999997</v>
      </c>
      <c r="AQ243" s="125">
        <f>IF(AI243&lt;Valores!$E$73,-0.02,IF(AI243&lt;Valores!$F$73,-0.03,-0.04))*AI243</f>
        <v>-4137.4475999999995</v>
      </c>
      <c r="AR243" s="125">
        <f>AI243*Valores!$C$75</f>
        <v>-11377.980899999999</v>
      </c>
      <c r="AS243" s="125">
        <f>Valores!$C$102</f>
        <v>-1270.16</v>
      </c>
      <c r="AT243" s="125">
        <f>IF($F$5=0,Valores!$C$103,(Valores!$C$103+$F$5*(Valores!$C$103)))</f>
        <v>-11714</v>
      </c>
      <c r="AU243" s="125">
        <f t="shared" si="38"/>
        <v>176616.82969999994</v>
      </c>
      <c r="AV243" s="125">
        <f t="shared" si="32"/>
        <v>-22755.961799999997</v>
      </c>
      <c r="AW243" s="125">
        <f t="shared" si="39"/>
        <v>-4137.4475999999995</v>
      </c>
      <c r="AX243" s="125">
        <f>AI243*Valores!$C$76</f>
        <v>-5585.554259999999</v>
      </c>
      <c r="AY243" s="125">
        <f>AI243*Valores!$C$77</f>
        <v>-620.61714</v>
      </c>
      <c r="AZ243" s="125">
        <f t="shared" si="36"/>
        <v>194772.79919999995</v>
      </c>
      <c r="BA243" s="125">
        <f>AI243*Valores!$C$79</f>
        <v>33099.580799999996</v>
      </c>
      <c r="BB243" s="125">
        <f>AI243*Valores!$C$80</f>
        <v>14481.0666</v>
      </c>
      <c r="BC243" s="125">
        <f>AI243*Valores!$C$81</f>
        <v>2068.7237999999998</v>
      </c>
      <c r="BD243" s="125">
        <f>AI243*Valores!$C$83</f>
        <v>7240.5333</v>
      </c>
      <c r="BE243" s="125">
        <f>AI243*Valores!$C$85</f>
        <v>11171.108519999998</v>
      </c>
      <c r="BF243" s="125">
        <f>AI243*Valores!$C$84</f>
        <v>1241.23428</v>
      </c>
      <c r="BG243" s="126"/>
      <c r="BH243" s="126">
        <f t="shared" si="41"/>
        <v>9</v>
      </c>
      <c r="BI243" s="123" t="s">
        <v>4</v>
      </c>
    </row>
    <row r="244" spans="1:61" s="110" customFormat="1" ht="11.25" customHeight="1">
      <c r="A244" s="123" t="s">
        <v>466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42"/>
        <v>711</v>
      </c>
      <c r="F244" s="125">
        <f>ROUND(E244*Valores!$C$2,2)</f>
        <v>58856.58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20027.59</v>
      </c>
      <c r="N244" s="125">
        <f t="shared" si="33"/>
        <v>0</v>
      </c>
      <c r="O244" s="125">
        <f>Valores!$C$7*B244</f>
        <v>25264.350000000002</v>
      </c>
      <c r="P244" s="125">
        <f>ROUND(IF(B244&lt;15,(Valores!$E$5*B244),Valores!$D$5),2)</f>
        <v>25390.26</v>
      </c>
      <c r="Q244" s="125">
        <v>0</v>
      </c>
      <c r="R244" s="125">
        <f>IF($F$4="NO",IF(Valores!$C$50*B244&gt;Valores!$F$47,Valores!$F$47,Valores!$C$50*B244),IF(Valores!$C$50*B244&gt;Valores!$F$47,Valores!$F$47,Valores!$C$50*B244)/2)</f>
        <v>13307.85</v>
      </c>
      <c r="S244" s="125">
        <f>Valores!$C$18*B244</f>
        <v>7945.92</v>
      </c>
      <c r="T244" s="125">
        <f t="shared" si="40"/>
        <v>7945.92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IF(Valores!$C$99*B244&gt;Valores!$C$98,Valores!$C$98,Valores!$C$99*B244)</f>
        <v>24257.43</v>
      </c>
      <c r="AA244" s="125">
        <f>IF((Valores!$C$28)*B244&gt;Valores!$F$28,Valores!$F$28,(Valores!$C$28)*B244)</f>
        <v>624.24</v>
      </c>
      <c r="AB244" s="214">
        <v>0</v>
      </c>
      <c r="AC244" s="125">
        <f t="shared" si="34"/>
        <v>0</v>
      </c>
      <c r="AD244" s="125">
        <f>IF(Valores!$C$29*B244&gt;Valores!$F$29,Valores!$F$29,Valores!$C$29*B244)</f>
        <v>519.84</v>
      </c>
      <c r="AE244" s="192">
        <v>94</v>
      </c>
      <c r="AF244" s="125">
        <f>ROUND(AE244*Valores!$C$2,2)</f>
        <v>7781.32</v>
      </c>
      <c r="AG244" s="125">
        <f>IF($F$4="NO",IF(Valores!$D$64*'Escala Docente'!B244&gt;Valores!$F$64,Valores!$F$64,Valores!$D$64*'Escala Docente'!B244),IF(Valores!$D$64*'Escala Docente'!B244&gt;Valores!$F$64,Valores!$F$64,Valores!$D$64*'Escala Docente'!B244)/2)+0.02</f>
        <v>11871.74</v>
      </c>
      <c r="AH244" s="125">
        <f>SUM(F244,H244,J244,L244,M244,N244,O244,P244,Q244,R244,T244,U244,V244,X244,Y244,Z244,AA244,AC244,AD244,AF244,AG244)*Valores!$C$104</f>
        <v>19584.712</v>
      </c>
      <c r="AI244" s="125">
        <f t="shared" si="37"/>
        <v>215431.832</v>
      </c>
      <c r="AJ244" s="125">
        <f>IF(Valores!$C$33*B244&gt;Valores!$F$33,Valores!$F$33,Valores!$C$33*B244)</f>
        <v>20999.999999999967</v>
      </c>
      <c r="AK244" s="125">
        <v>0</v>
      </c>
      <c r="AL244" s="125">
        <f>IF(Valores!$C$92*B244&gt;Valores!$C$91,Valores!$C$91,Valores!$C$92*B244)</f>
        <v>0</v>
      </c>
      <c r="AM244" s="125">
        <f>IF(Valores!C$40*B244&gt;Valores!F$39,Valores!F$39,Valores!C$40*B244)</f>
        <v>0</v>
      </c>
      <c r="AN244" s="125">
        <f>IF($F$3="NO",0,IF(Valores!$C$63*B244&gt;Valores!$F$63,Valores!$F$63,Valores!$C$63*B244))</f>
        <v>0</v>
      </c>
      <c r="AO244" s="125">
        <f t="shared" si="35"/>
        <v>20999.999999999967</v>
      </c>
      <c r="AP244" s="125">
        <f>AI244*Valores!$C$72</f>
        <v>-23697.501519999998</v>
      </c>
      <c r="AQ244" s="125">
        <f>IF(AI244&lt;Valores!$E$73,-0.02,IF(AI244&lt;Valores!$F$73,-0.03,-0.04))*AI244</f>
        <v>-4308.63664</v>
      </c>
      <c r="AR244" s="125">
        <f>AI244*Valores!$C$75</f>
        <v>-11848.750759999999</v>
      </c>
      <c r="AS244" s="125">
        <f>Valores!$C$102</f>
        <v>-1270.16</v>
      </c>
      <c r="AT244" s="125">
        <f>IF($F$5=0,Valores!$C$103,(Valores!$C$103+$F$5*(Valores!$C$103)))</f>
        <v>-11714</v>
      </c>
      <c r="AU244" s="125">
        <f t="shared" si="38"/>
        <v>183592.78307999996</v>
      </c>
      <c r="AV244" s="125">
        <f t="shared" si="32"/>
        <v>-23697.501519999998</v>
      </c>
      <c r="AW244" s="125">
        <f t="shared" si="39"/>
        <v>-4308.63664</v>
      </c>
      <c r="AX244" s="125">
        <f>AI244*Valores!$C$76</f>
        <v>-5816.659463999999</v>
      </c>
      <c r="AY244" s="125">
        <f>AI244*Valores!$C$77</f>
        <v>-646.295496</v>
      </c>
      <c r="AZ244" s="125">
        <f t="shared" si="36"/>
        <v>201962.73887999996</v>
      </c>
      <c r="BA244" s="125">
        <f>AI244*Valores!$C$79</f>
        <v>34469.09312</v>
      </c>
      <c r="BB244" s="125">
        <f>AI244*Valores!$C$80</f>
        <v>15080.22824</v>
      </c>
      <c r="BC244" s="125">
        <f>AI244*Valores!$C$81</f>
        <v>2154.31832</v>
      </c>
      <c r="BD244" s="125">
        <f>AI244*Valores!$C$83</f>
        <v>7540.11412</v>
      </c>
      <c r="BE244" s="125">
        <f>AI244*Valores!$C$85</f>
        <v>11633.318927999999</v>
      </c>
      <c r="BF244" s="125">
        <f>AI244*Valores!$C$84</f>
        <v>1292.590992</v>
      </c>
      <c r="BG244" s="126"/>
      <c r="BH244" s="126">
        <f t="shared" si="41"/>
        <v>9</v>
      </c>
      <c r="BI244" s="123" t="s">
        <v>4</v>
      </c>
    </row>
    <row r="245" spans="1:61" s="110" customFormat="1" ht="11.25" customHeight="1">
      <c r="A245" s="123" t="s">
        <v>466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42"/>
        <v>790</v>
      </c>
      <c r="F245" s="125">
        <f>ROUND(E245*Valores!$C$2,2)</f>
        <v>65396.2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22252.88</v>
      </c>
      <c r="N245" s="125">
        <f t="shared" si="33"/>
        <v>0</v>
      </c>
      <c r="O245" s="125">
        <f>Valores!$C$7*B245</f>
        <v>28071.5</v>
      </c>
      <c r="P245" s="125">
        <f>ROUND(IF(B245&lt;15,(Valores!$E$5*B245),Valores!$D$5),2)</f>
        <v>28211.4</v>
      </c>
      <c r="Q245" s="125">
        <v>0</v>
      </c>
      <c r="R245" s="125">
        <f>IF($F$4="NO",IF(Valores!$C$50*B245&gt;Valores!$F$47,Valores!$F$47,Valores!$C$50*B245),IF(Valores!$C$50*B245&gt;Valores!$F$47,Valores!$F$47,Valores!$C$50*B245)/2)</f>
        <v>14786.5</v>
      </c>
      <c r="S245" s="125">
        <f>Valores!$C$18*B245</f>
        <v>8828.8</v>
      </c>
      <c r="T245" s="125">
        <f t="shared" si="40"/>
        <v>8828.8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IF(Valores!$C$99*B245&gt;Valores!$C$98,Valores!$C$98,Valores!$C$99*B245)</f>
        <v>26952.7</v>
      </c>
      <c r="AA245" s="125">
        <f>IF((Valores!$C$28)*B245&gt;Valores!$F$28,Valores!$F$28,(Valores!$C$28)*B245)</f>
        <v>693.6</v>
      </c>
      <c r="AB245" s="214">
        <v>0</v>
      </c>
      <c r="AC245" s="125">
        <f t="shared" si="34"/>
        <v>0</v>
      </c>
      <c r="AD245" s="125">
        <f>IF(Valores!$C$29*B245&gt;Valores!$F$29,Valores!$F$29,Valores!$C$29*B245)</f>
        <v>577.6</v>
      </c>
      <c r="AE245" s="192">
        <v>0</v>
      </c>
      <c r="AF245" s="125">
        <f>ROUND(AE245*Valores!$C$2,2)</f>
        <v>0</v>
      </c>
      <c r="AG245" s="125">
        <f>IF($F$4="NO",IF(Valores!$D$64*'Escala Docente'!B245&gt;Valores!$F$64,Valores!$F$64,Valores!$D$64*'Escala Docente'!B245),IF(Valores!$D$64*'Escala Docente'!B245&gt;Valores!$F$64,Valores!$F$64,Valores!$D$64*'Escala Docente'!B245)/2)+0.02</f>
        <v>13190.82</v>
      </c>
      <c r="AH245" s="125">
        <f>SUM(F245,H245,J245,L245,M245,N245,O245,P245,Q245,R245,T245,U245,V245,X245,Y245,Z245,AA245,AC245,AD245,AF245,AG245)*Valores!$C$104</f>
        <v>20896.200000000004</v>
      </c>
      <c r="AI245" s="125">
        <f t="shared" si="37"/>
        <v>229858.20000000004</v>
      </c>
      <c r="AJ245" s="125">
        <f>IF(Valores!$C$33*B245&gt;Valores!$F$33,Valores!$F$33,Valores!$C$33*B245)</f>
        <v>23333.3333333333</v>
      </c>
      <c r="AK245" s="125">
        <v>0</v>
      </c>
      <c r="AL245" s="125">
        <f>IF(Valores!$C$92*B245&gt;Valores!$C$91,Valores!$C$91,Valores!$C$92*B245)</f>
        <v>0</v>
      </c>
      <c r="AM245" s="125">
        <f>IF(Valores!C$40*B245&gt;Valores!F$39,Valores!F$39,Valores!C$40*B245)</f>
        <v>0</v>
      </c>
      <c r="AN245" s="125">
        <f>IF($F$3="NO",0,IF(Valores!$C$63*B245&gt;Valores!$F$63,Valores!$F$63,Valores!$C$63*B245))</f>
        <v>0</v>
      </c>
      <c r="AO245" s="125">
        <f t="shared" si="35"/>
        <v>23333.3333333333</v>
      </c>
      <c r="AP245" s="125">
        <f>AI245*Valores!$C$72</f>
        <v>-25284.402000000006</v>
      </c>
      <c r="AQ245" s="125">
        <f>IF(AI245&lt;Valores!$E$73,-0.02,IF(AI245&lt;Valores!$F$73,-0.03,-0.04))*AI245</f>
        <v>-4597.164000000001</v>
      </c>
      <c r="AR245" s="125">
        <f>AI245*Valores!$C$75</f>
        <v>-12642.201000000003</v>
      </c>
      <c r="AS245" s="125">
        <f>Valores!$C$102</f>
        <v>-1270.16</v>
      </c>
      <c r="AT245" s="125">
        <f>IF($F$5=0,Valores!$C$103,(Valores!$C$103+$F$5*(Valores!$C$103)))</f>
        <v>-11714</v>
      </c>
      <c r="AU245" s="125">
        <f t="shared" si="38"/>
        <v>197683.60633333333</v>
      </c>
      <c r="AV245" s="125">
        <f t="shared" si="32"/>
        <v>-25284.402000000006</v>
      </c>
      <c r="AW245" s="125">
        <f t="shared" si="39"/>
        <v>-4597.164000000001</v>
      </c>
      <c r="AX245" s="125">
        <f>AI245*Valores!$C$76</f>
        <v>-6206.171400000001</v>
      </c>
      <c r="AY245" s="125">
        <f>AI245*Valores!$C$77</f>
        <v>-689.5746000000001</v>
      </c>
      <c r="AZ245" s="125">
        <f t="shared" si="36"/>
        <v>216414.22133333332</v>
      </c>
      <c r="BA245" s="125">
        <f>AI245*Valores!$C$79</f>
        <v>36777.312000000005</v>
      </c>
      <c r="BB245" s="125">
        <f>AI245*Valores!$C$80</f>
        <v>16090.074000000004</v>
      </c>
      <c r="BC245" s="125">
        <f>AI245*Valores!$C$81</f>
        <v>2298.5820000000003</v>
      </c>
      <c r="BD245" s="125">
        <f>AI245*Valores!$C$83</f>
        <v>8045.037000000002</v>
      </c>
      <c r="BE245" s="125">
        <f>AI245*Valores!$C$85</f>
        <v>12412.342800000002</v>
      </c>
      <c r="BF245" s="125">
        <f>AI245*Valores!$C$84</f>
        <v>1379.1492000000003</v>
      </c>
      <c r="BG245" s="126"/>
      <c r="BH245" s="126">
        <f t="shared" si="41"/>
        <v>10</v>
      </c>
      <c r="BI245" s="123" t="s">
        <v>4</v>
      </c>
    </row>
    <row r="246" spans="1:61" s="110" customFormat="1" ht="11.25" customHeight="1">
      <c r="A246" s="123" t="s">
        <v>466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42"/>
        <v>790</v>
      </c>
      <c r="F246" s="125">
        <f>ROUND(E246*Valores!$C$2,2)</f>
        <v>65396.2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22252.88</v>
      </c>
      <c r="N246" s="125">
        <f t="shared" si="33"/>
        <v>0</v>
      </c>
      <c r="O246" s="125">
        <f>Valores!$C$7*B246</f>
        <v>28071.5</v>
      </c>
      <c r="P246" s="125">
        <f>ROUND(IF(B246&lt;15,(Valores!$E$5*B246),Valores!$D$5),2)</f>
        <v>28211.4</v>
      </c>
      <c r="Q246" s="125">
        <v>0</v>
      </c>
      <c r="R246" s="125">
        <f>IF($F$4="NO",IF(Valores!$C$50*B246&gt;Valores!$F$47,Valores!$F$47,Valores!$C$50*B246),IF(Valores!$C$50*B246&gt;Valores!$F$47,Valores!$F$47,Valores!$C$50*B246)/2)</f>
        <v>14786.5</v>
      </c>
      <c r="S246" s="125">
        <f>Valores!$C$18*B246</f>
        <v>8828.8</v>
      </c>
      <c r="T246" s="125">
        <f t="shared" si="40"/>
        <v>8828.8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IF(Valores!$C$99*B246&gt;Valores!$C$98,Valores!$C$98,Valores!$C$99*B246)</f>
        <v>26952.7</v>
      </c>
      <c r="AA246" s="125">
        <f>IF((Valores!$C$28)*B246&gt;Valores!$F$28,Valores!$F$28,(Valores!$C$28)*B246)</f>
        <v>693.6</v>
      </c>
      <c r="AB246" s="214">
        <v>0</v>
      </c>
      <c r="AC246" s="125">
        <f t="shared" si="34"/>
        <v>0</v>
      </c>
      <c r="AD246" s="125">
        <f>IF(Valores!$C$29*B246&gt;Valores!$F$29,Valores!$F$29,Valores!$C$29*B246)</f>
        <v>577.6</v>
      </c>
      <c r="AE246" s="192">
        <v>94</v>
      </c>
      <c r="AF246" s="125">
        <f>ROUND(AE246*Valores!$C$2,2)</f>
        <v>7781.32</v>
      </c>
      <c r="AG246" s="125">
        <f>IF($F$4="NO",IF(Valores!$D$64*'Escala Docente'!B246&gt;Valores!$F$64,Valores!$F$64,Valores!$D$64*'Escala Docente'!B246),IF(Valores!$D$64*'Escala Docente'!B246&gt;Valores!$F$64,Valores!$F$64,Valores!$D$64*'Escala Docente'!B246)/2)+0.02</f>
        <v>13190.82</v>
      </c>
      <c r="AH246" s="125">
        <f>SUM(F246,H246,J246,L246,M246,N246,O246,P246,Q246,R246,T246,U246,V246,X246,Y246,Z246,AA246,AC246,AD246,AF246,AG246)*Valores!$C$104</f>
        <v>21674.332000000006</v>
      </c>
      <c r="AI246" s="125">
        <f t="shared" si="37"/>
        <v>238417.65200000003</v>
      </c>
      <c r="AJ246" s="125">
        <f>IF(Valores!$C$33*B246&gt;Valores!$F$33,Valores!$F$33,Valores!$C$33*B246)</f>
        <v>23333.3333333333</v>
      </c>
      <c r="AK246" s="125">
        <v>0</v>
      </c>
      <c r="AL246" s="125">
        <f>IF(Valores!$C$92*B246&gt;Valores!$C$91,Valores!$C$91,Valores!$C$92*B246)</f>
        <v>0</v>
      </c>
      <c r="AM246" s="125">
        <f>IF(Valores!C$40*B246&gt;Valores!F$39,Valores!F$39,Valores!C$40*B246)</f>
        <v>0</v>
      </c>
      <c r="AN246" s="125">
        <f>IF($F$3="NO",0,IF(Valores!$C$63*B246&gt;Valores!$F$63,Valores!$F$63,Valores!$C$63*B246))</f>
        <v>0</v>
      </c>
      <c r="AO246" s="125">
        <f t="shared" si="35"/>
        <v>23333.3333333333</v>
      </c>
      <c r="AP246" s="125">
        <f>AI246*Valores!$C$72</f>
        <v>-26225.941720000003</v>
      </c>
      <c r="AQ246" s="125">
        <f>IF(AI246&lt;Valores!$E$73,-0.02,IF(AI246&lt;Valores!$F$73,-0.03,-0.04))*AI246</f>
        <v>-4768.353040000001</v>
      </c>
      <c r="AR246" s="125">
        <f>AI246*Valores!$C$75</f>
        <v>-13112.970860000001</v>
      </c>
      <c r="AS246" s="125">
        <f>Valores!$C$102</f>
        <v>-1270.16</v>
      </c>
      <c r="AT246" s="125">
        <f>IF($F$5=0,Valores!$C$103,(Valores!$C$103+$F$5*(Valores!$C$103)))</f>
        <v>-11714</v>
      </c>
      <c r="AU246" s="125">
        <f t="shared" si="38"/>
        <v>204659.55971333332</v>
      </c>
      <c r="AV246" s="125">
        <f t="shared" si="32"/>
        <v>-26225.941720000003</v>
      </c>
      <c r="AW246" s="125">
        <f t="shared" si="39"/>
        <v>-4768.353040000001</v>
      </c>
      <c r="AX246" s="125">
        <f>AI246*Valores!$C$76</f>
        <v>-6437.276604000001</v>
      </c>
      <c r="AY246" s="125">
        <f>AI246*Valores!$C$77</f>
        <v>-715.2529560000002</v>
      </c>
      <c r="AZ246" s="125">
        <f t="shared" si="36"/>
        <v>223604.1610133333</v>
      </c>
      <c r="BA246" s="125">
        <f>AI246*Valores!$C$79</f>
        <v>38146.82432000001</v>
      </c>
      <c r="BB246" s="125">
        <f>AI246*Valores!$C$80</f>
        <v>16689.235640000003</v>
      </c>
      <c r="BC246" s="125">
        <f>AI246*Valores!$C$81</f>
        <v>2384.1765200000004</v>
      </c>
      <c r="BD246" s="125">
        <f>AI246*Valores!$C$83</f>
        <v>8344.617820000001</v>
      </c>
      <c r="BE246" s="125">
        <f>AI246*Valores!$C$85</f>
        <v>12874.553208000001</v>
      </c>
      <c r="BF246" s="125">
        <f>AI246*Valores!$C$84</f>
        <v>1430.5059120000003</v>
      </c>
      <c r="BG246" s="126"/>
      <c r="BH246" s="126">
        <f t="shared" si="41"/>
        <v>10</v>
      </c>
      <c r="BI246" s="123" t="s">
        <v>4</v>
      </c>
    </row>
    <row r="247" spans="1:61" s="110" customFormat="1" ht="11.25" customHeight="1">
      <c r="A247" s="123" t="s">
        <v>466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42"/>
        <v>869</v>
      </c>
      <c r="F247" s="125">
        <f>ROUND(E247*Valores!$C$2,2)</f>
        <v>71935.82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24478.16</v>
      </c>
      <c r="N247" s="125">
        <f t="shared" si="33"/>
        <v>0</v>
      </c>
      <c r="O247" s="125">
        <f>Valores!$C$7*B247</f>
        <v>30878.65</v>
      </c>
      <c r="P247" s="125">
        <f>ROUND(IF(B247&lt;15,(Valores!$E$5*B247),Valores!$D$5),2)</f>
        <v>31032.54</v>
      </c>
      <c r="Q247" s="125">
        <v>0</v>
      </c>
      <c r="R247" s="125">
        <f>IF($F$4="NO",IF(Valores!$C$50*B247&gt;Valores!$F$47,Valores!$F$47,Valores!$C$50*B247),IF(Valores!$C$50*B247&gt;Valores!$F$47,Valores!$F$47,Valores!$C$50*B247)/2)</f>
        <v>16265.150000000001</v>
      </c>
      <c r="S247" s="125">
        <f>Valores!$C$18*B247</f>
        <v>9711.68</v>
      </c>
      <c r="T247" s="125">
        <f t="shared" si="40"/>
        <v>9711.68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IF(Valores!$C$99*B247&gt;Valores!$C$98,Valores!$C$98,Valores!$C$99*B247)</f>
        <v>29647.97</v>
      </c>
      <c r="AA247" s="125">
        <f>IF((Valores!$C$28)*B247&gt;Valores!$F$28,Valores!$F$28,(Valores!$C$28)*B247)</f>
        <v>762.96</v>
      </c>
      <c r="AB247" s="214">
        <v>0</v>
      </c>
      <c r="AC247" s="125">
        <f t="shared" si="34"/>
        <v>0</v>
      </c>
      <c r="AD247" s="125">
        <f>IF(Valores!$C$29*B247&gt;Valores!$F$29,Valores!$F$29,Valores!$C$29*B247)</f>
        <v>635.36</v>
      </c>
      <c r="AE247" s="192">
        <v>0</v>
      </c>
      <c r="AF247" s="125">
        <f>ROUND(AE247*Valores!$C$2,2)</f>
        <v>0</v>
      </c>
      <c r="AG247" s="125">
        <f>IF($F$4="NO",IF(Valores!$D$64*'Escala Docente'!B247&gt;Valores!$F$64,Valores!$F$64,Valores!$D$64*'Escala Docente'!B247),IF(Valores!$D$64*'Escala Docente'!B247&gt;Valores!$F$64,Valores!$F$64,Valores!$D$64*'Escala Docente'!B247)/2)+0.02</f>
        <v>14509.9</v>
      </c>
      <c r="AH247" s="125">
        <f>SUM(F247,H247,J247,L247,M247,N247,O247,P247,Q247,R247,T247,U247,V247,X247,Y247,Z247,AA247,AC247,AD247,AF247,AG247)*Valores!$C$104</f>
        <v>22985.819</v>
      </c>
      <c r="AI247" s="125">
        <f t="shared" si="37"/>
        <v>252844.00899999996</v>
      </c>
      <c r="AJ247" s="125">
        <f>IF(Valores!$C$33*B247&gt;Valores!$F$33,Valores!$F$33,Valores!$C$33*B247)</f>
        <v>25666.666666666628</v>
      </c>
      <c r="AK247" s="125">
        <v>0</v>
      </c>
      <c r="AL247" s="125">
        <f>IF(Valores!$C$92*B247&gt;Valores!$C$91,Valores!$C$91,Valores!$C$92*B247)</f>
        <v>0</v>
      </c>
      <c r="AM247" s="125">
        <f>IF(Valores!C$40*B247&gt;Valores!F$39,Valores!F$39,Valores!C$40*B247)</f>
        <v>0</v>
      </c>
      <c r="AN247" s="125">
        <f>IF($F$3="NO",0,IF(Valores!$C$63*B247&gt;Valores!$F$63,Valores!$F$63,Valores!$C$63*B247))</f>
        <v>0</v>
      </c>
      <c r="AO247" s="125">
        <f t="shared" si="35"/>
        <v>25666.666666666628</v>
      </c>
      <c r="AP247" s="125">
        <f>AI247*Valores!$C$72</f>
        <v>-27812.840989999997</v>
      </c>
      <c r="AQ247" s="125">
        <f>IF(AI247&lt;Valores!$E$73,-0.02,IF(AI247&lt;Valores!$F$73,-0.03,-0.04))*AI247</f>
        <v>-5056.880179999999</v>
      </c>
      <c r="AR247" s="125">
        <f>AI247*Valores!$C$75</f>
        <v>-13906.420494999998</v>
      </c>
      <c r="AS247" s="125">
        <f>Valores!$C$102</f>
        <v>-1270.16</v>
      </c>
      <c r="AT247" s="125">
        <f>IF($F$5=0,Valores!$C$103,(Valores!$C$103+$F$5*(Valores!$C$103)))</f>
        <v>-11714</v>
      </c>
      <c r="AU247" s="125">
        <f t="shared" si="38"/>
        <v>218750.3740016666</v>
      </c>
      <c r="AV247" s="125">
        <f t="shared" si="32"/>
        <v>-27812.840989999997</v>
      </c>
      <c r="AW247" s="125">
        <f t="shared" si="39"/>
        <v>-5056.880179999999</v>
      </c>
      <c r="AX247" s="125">
        <f>AI247*Valores!$C$76</f>
        <v>-6826.788242999999</v>
      </c>
      <c r="AY247" s="125">
        <f>AI247*Valores!$C$77</f>
        <v>-758.5320269999999</v>
      </c>
      <c r="AZ247" s="125">
        <f t="shared" si="36"/>
        <v>238055.6342266666</v>
      </c>
      <c r="BA247" s="125">
        <f>AI247*Valores!$C$79</f>
        <v>40455.04143999999</v>
      </c>
      <c r="BB247" s="125">
        <f>AI247*Valores!$C$80</f>
        <v>17699.08063</v>
      </c>
      <c r="BC247" s="125">
        <f>AI247*Valores!$C$81</f>
        <v>2528.4400899999996</v>
      </c>
      <c r="BD247" s="125">
        <f>AI247*Valores!$C$83</f>
        <v>8849.540315</v>
      </c>
      <c r="BE247" s="125">
        <f>AI247*Valores!$C$85</f>
        <v>13653.576485999998</v>
      </c>
      <c r="BF247" s="125">
        <f>AI247*Valores!$C$84</f>
        <v>1517.0640539999997</v>
      </c>
      <c r="BG247" s="126"/>
      <c r="BH247" s="126">
        <f t="shared" si="41"/>
        <v>11</v>
      </c>
      <c r="BI247" s="123" t="s">
        <v>4</v>
      </c>
    </row>
    <row r="248" spans="1:61" s="110" customFormat="1" ht="11.25" customHeight="1">
      <c r="A248" s="123" t="s">
        <v>466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42"/>
        <v>869</v>
      </c>
      <c r="F248" s="125">
        <f>ROUND(E248*Valores!$C$2,2)</f>
        <v>71935.82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24478.16</v>
      </c>
      <c r="N248" s="125">
        <f t="shared" si="33"/>
        <v>0</v>
      </c>
      <c r="O248" s="125">
        <f>Valores!$C$7*B248</f>
        <v>30878.65</v>
      </c>
      <c r="P248" s="125">
        <f>ROUND(IF(B248&lt;15,(Valores!$E$5*B248),Valores!$D$5),2)</f>
        <v>31032.54</v>
      </c>
      <c r="Q248" s="125">
        <v>0</v>
      </c>
      <c r="R248" s="125">
        <f>IF($F$4="NO",IF(Valores!$C$50*B248&gt;Valores!$F$47,Valores!$F$47,Valores!$C$50*B248),IF(Valores!$C$50*B248&gt;Valores!$F$47,Valores!$F$47,Valores!$C$50*B248)/2)</f>
        <v>16265.150000000001</v>
      </c>
      <c r="S248" s="125">
        <f>Valores!$C$18*B248</f>
        <v>9711.68</v>
      </c>
      <c r="T248" s="125">
        <f t="shared" si="40"/>
        <v>9711.68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IF(Valores!$C$99*B248&gt;Valores!$C$98,Valores!$C$98,Valores!$C$99*B248)</f>
        <v>29647.97</v>
      </c>
      <c r="AA248" s="125">
        <f>IF((Valores!$C$28)*B248&gt;Valores!$F$28,Valores!$F$28,(Valores!$C$28)*B248)</f>
        <v>762.96</v>
      </c>
      <c r="AB248" s="214">
        <v>0</v>
      </c>
      <c r="AC248" s="125">
        <f t="shared" si="34"/>
        <v>0</v>
      </c>
      <c r="AD248" s="125">
        <f>IF(Valores!$C$29*B248&gt;Valores!$F$29,Valores!$F$29,Valores!$C$29*B248)</f>
        <v>635.36</v>
      </c>
      <c r="AE248" s="192">
        <v>94</v>
      </c>
      <c r="AF248" s="125">
        <f>ROUND(AE248*Valores!$C$2,2)</f>
        <v>7781.32</v>
      </c>
      <c r="AG248" s="125">
        <f>IF($F$4="NO",IF(Valores!$D$64*'Escala Docente'!B248&gt;Valores!$F$64,Valores!$F$64,Valores!$D$64*'Escala Docente'!B248),IF(Valores!$D$64*'Escala Docente'!B248&gt;Valores!$F$64,Valores!$F$64,Valores!$D$64*'Escala Docente'!B248)/2)+0.02</f>
        <v>14509.9</v>
      </c>
      <c r="AH248" s="125">
        <f>SUM(F248,H248,J248,L248,M248,N248,O248,P248,Q248,R248,T248,U248,V248,X248,Y248,Z248,AA248,AC248,AD248,AF248,AG248)*Valores!$C$104</f>
        <v>23763.951</v>
      </c>
      <c r="AI248" s="125">
        <f t="shared" si="37"/>
        <v>261403.46099999998</v>
      </c>
      <c r="AJ248" s="125">
        <f>IF(Valores!$C$33*B248&gt;Valores!$F$33,Valores!$F$33,Valores!$C$33*B248)</f>
        <v>25666.666666666628</v>
      </c>
      <c r="AK248" s="125">
        <v>0</v>
      </c>
      <c r="AL248" s="125">
        <f>IF(Valores!$C$92*B248&gt;Valores!$C$91,Valores!$C$91,Valores!$C$92*B248)</f>
        <v>0</v>
      </c>
      <c r="AM248" s="125">
        <f>IF(Valores!C$40*B248&gt;Valores!F$39,Valores!F$39,Valores!C$40*B248)</f>
        <v>0</v>
      </c>
      <c r="AN248" s="125">
        <f>IF($F$3="NO",0,IF(Valores!$C$63*B248&gt;Valores!$F$63,Valores!$F$63,Valores!$C$63*B248))</f>
        <v>0</v>
      </c>
      <c r="AO248" s="125">
        <f t="shared" si="35"/>
        <v>25666.666666666628</v>
      </c>
      <c r="AP248" s="125">
        <f>AI248*Valores!$C$72</f>
        <v>-28754.380709999998</v>
      </c>
      <c r="AQ248" s="125">
        <f>IF(AI248&lt;Valores!$E$73,-0.02,IF(AI248&lt;Valores!$F$73,-0.03,-0.04))*AI248</f>
        <v>-5228.069219999999</v>
      </c>
      <c r="AR248" s="125">
        <f>AI248*Valores!$C$75</f>
        <v>-14377.190354999999</v>
      </c>
      <c r="AS248" s="125">
        <f>Valores!$C$102</f>
        <v>-1270.16</v>
      </c>
      <c r="AT248" s="125">
        <f>IF($F$5=0,Valores!$C$103,(Valores!$C$103+$F$5*(Valores!$C$103)))</f>
        <v>-11714</v>
      </c>
      <c r="AU248" s="125">
        <f t="shared" si="38"/>
        <v>225726.32738166663</v>
      </c>
      <c r="AV248" s="125">
        <f t="shared" si="32"/>
        <v>-28754.380709999998</v>
      </c>
      <c r="AW248" s="125">
        <f t="shared" si="39"/>
        <v>-5228.069219999999</v>
      </c>
      <c r="AX248" s="125">
        <f>AI248*Valores!$C$76</f>
        <v>-7057.8934469999995</v>
      </c>
      <c r="AY248" s="125">
        <f>AI248*Valores!$C$77</f>
        <v>-784.210383</v>
      </c>
      <c r="AZ248" s="125">
        <f t="shared" si="36"/>
        <v>245245.57390666666</v>
      </c>
      <c r="BA248" s="125">
        <f>AI248*Valores!$C$79</f>
        <v>41824.553759999995</v>
      </c>
      <c r="BB248" s="125">
        <f>AI248*Valores!$C$80</f>
        <v>18298.24227</v>
      </c>
      <c r="BC248" s="125">
        <f>AI248*Valores!$C$81</f>
        <v>2614.0346099999997</v>
      </c>
      <c r="BD248" s="125">
        <f>AI248*Valores!$C$83</f>
        <v>9149.121135</v>
      </c>
      <c r="BE248" s="125">
        <f>AI248*Valores!$C$85</f>
        <v>14115.786893999999</v>
      </c>
      <c r="BF248" s="125">
        <f>AI248*Valores!$C$84</f>
        <v>1568.420766</v>
      </c>
      <c r="BG248" s="126"/>
      <c r="BH248" s="126">
        <f t="shared" si="41"/>
        <v>11</v>
      </c>
      <c r="BI248" s="123" t="s">
        <v>4</v>
      </c>
    </row>
    <row r="249" spans="1:61" s="110" customFormat="1" ht="11.25" customHeight="1">
      <c r="A249" s="123" t="s">
        <v>466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42"/>
        <v>948</v>
      </c>
      <c r="F249" s="125">
        <f>ROUND(E249*Valores!$C$2,2)</f>
        <v>78475.44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26703.45</v>
      </c>
      <c r="N249" s="125">
        <f t="shared" si="33"/>
        <v>0</v>
      </c>
      <c r="O249" s="125">
        <f>Valores!$C$7*B249</f>
        <v>33685.8</v>
      </c>
      <c r="P249" s="125">
        <f>ROUND(IF(B249&lt;15,(Valores!$E$5*B249),Valores!$D$5),2)</f>
        <v>33853.68</v>
      </c>
      <c r="Q249" s="125">
        <v>0</v>
      </c>
      <c r="R249" s="125">
        <f>IF($F$4="NO",IF(Valores!$C$50*B249&gt;Valores!$F$47,Valores!$F$47,Valores!$C$50*B249),IF(Valores!$C$50*B249&gt;Valores!$F$47,Valores!$F$47,Valores!$C$50*B249)/2)</f>
        <v>17743.800000000003</v>
      </c>
      <c r="S249" s="125">
        <f>Valores!$C$18*B249</f>
        <v>10594.56</v>
      </c>
      <c r="T249" s="125">
        <f t="shared" si="40"/>
        <v>10594.56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IF(Valores!$C$99*B249&gt;Valores!$C$98,Valores!$C$98,Valores!$C$99*B249)</f>
        <v>32343.239999999998</v>
      </c>
      <c r="AA249" s="125">
        <f>IF((Valores!$C$28)*B249&gt;Valores!$F$28,Valores!$F$28,(Valores!$C$28)*B249)</f>
        <v>832.3199999999999</v>
      </c>
      <c r="AB249" s="214">
        <v>0</v>
      </c>
      <c r="AC249" s="125">
        <f t="shared" si="34"/>
        <v>0</v>
      </c>
      <c r="AD249" s="125">
        <f>IF(Valores!$C$29*B249&gt;Valores!$F$29,Valores!$F$29,Valores!$C$29*B249)</f>
        <v>693.12</v>
      </c>
      <c r="AE249" s="192">
        <v>0</v>
      </c>
      <c r="AF249" s="125">
        <f>ROUND(AE249*Valores!$C$2,2)</f>
        <v>0</v>
      </c>
      <c r="AG249" s="125">
        <f>IF($F$4="NO",IF(Valores!$D$64*'Escala Docente'!B249&gt;Valores!$F$64,Valores!$F$64,Valores!$D$64*'Escala Docente'!B249),IF(Valores!$D$64*'Escala Docente'!B249&gt;Valores!$F$64,Valores!$F$64,Valores!$D$64*'Escala Docente'!B249)/2)+0.02</f>
        <v>15828.98</v>
      </c>
      <c r="AH249" s="125">
        <f>SUM(F249,H249,J249,L249,M249,N249,O249,P249,Q249,R249,T249,U249,V249,X249,Y249,Z249,AA249,AC249,AD249,AF249,AG249)*Valores!$C$104</f>
        <v>25075.439</v>
      </c>
      <c r="AI249" s="125">
        <f t="shared" si="37"/>
        <v>275829.82899999997</v>
      </c>
      <c r="AJ249" s="125">
        <f>IF(Valores!$C$33*B249&gt;Valores!$F$33,Valores!$F$33,Valores!$C$33*B249)</f>
        <v>27999.999999999956</v>
      </c>
      <c r="AK249" s="125">
        <v>0</v>
      </c>
      <c r="AL249" s="125">
        <f>IF(Valores!$C$92*B249&gt;Valores!$C$91,Valores!$C$91,Valores!$C$92*B249)</f>
        <v>0</v>
      </c>
      <c r="AM249" s="125">
        <f>IF(Valores!C$40*B249&gt;Valores!F$39,Valores!F$39,Valores!C$40*B249)</f>
        <v>0</v>
      </c>
      <c r="AN249" s="125">
        <f>IF($F$3="NO",0,IF(Valores!$C$63*B249&gt;Valores!$F$63,Valores!$F$63,Valores!$C$63*B249))</f>
        <v>0</v>
      </c>
      <c r="AO249" s="125">
        <f t="shared" si="35"/>
        <v>27999.999999999956</v>
      </c>
      <c r="AP249" s="125">
        <f>AI249*Valores!$C$72</f>
        <v>-30341.281189999998</v>
      </c>
      <c r="AQ249" s="125">
        <f>IF(AI249&lt;Valores!$E$73,-0.02,IF(AI249&lt;Valores!$F$73,-0.03,-0.04))*AI249</f>
        <v>-5516.596579999999</v>
      </c>
      <c r="AR249" s="125">
        <f>AI249*Valores!$C$75</f>
        <v>-15170.640594999999</v>
      </c>
      <c r="AS249" s="125">
        <f>Valores!$C$102</f>
        <v>-1270.16</v>
      </c>
      <c r="AT249" s="125">
        <f>IF($F$5=0,Valores!$C$103,(Valores!$C$103+$F$5*(Valores!$C$103)))</f>
        <v>-11714</v>
      </c>
      <c r="AU249" s="125">
        <f t="shared" si="38"/>
        <v>239817.1506349999</v>
      </c>
      <c r="AV249" s="125">
        <f t="shared" si="32"/>
        <v>-30341.281189999998</v>
      </c>
      <c r="AW249" s="125">
        <f t="shared" si="39"/>
        <v>-5516.596579999999</v>
      </c>
      <c r="AX249" s="125">
        <f>AI249*Valores!$C$76</f>
        <v>-7447.405382999999</v>
      </c>
      <c r="AY249" s="125">
        <f>AI249*Valores!$C$77</f>
        <v>-827.4894869999999</v>
      </c>
      <c r="AZ249" s="125">
        <f t="shared" si="36"/>
        <v>259697.05635999993</v>
      </c>
      <c r="BA249" s="125">
        <f>AI249*Valores!$C$79</f>
        <v>44132.772639999996</v>
      </c>
      <c r="BB249" s="125">
        <f>AI249*Valores!$C$80</f>
        <v>19308.08803</v>
      </c>
      <c r="BC249" s="125">
        <f>AI249*Valores!$C$81</f>
        <v>2758.2982899999997</v>
      </c>
      <c r="BD249" s="125">
        <f>AI249*Valores!$C$83</f>
        <v>9654.044015</v>
      </c>
      <c r="BE249" s="125">
        <f>AI249*Valores!$C$85</f>
        <v>14894.810765999999</v>
      </c>
      <c r="BF249" s="125">
        <f>AI249*Valores!$C$84</f>
        <v>1654.9789739999999</v>
      </c>
      <c r="BG249" s="126"/>
      <c r="BH249" s="126">
        <f t="shared" si="41"/>
        <v>12</v>
      </c>
      <c r="BI249" s="123" t="s">
        <v>4</v>
      </c>
    </row>
    <row r="250" spans="1:61" s="110" customFormat="1" ht="11.25" customHeight="1">
      <c r="A250" s="123" t="s">
        <v>466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42"/>
        <v>948</v>
      </c>
      <c r="F250" s="125">
        <f>ROUND(E250*Valores!$C$2,2)</f>
        <v>78475.44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26703.45</v>
      </c>
      <c r="N250" s="125">
        <f t="shared" si="33"/>
        <v>0</v>
      </c>
      <c r="O250" s="125">
        <f>Valores!$C$7*B250</f>
        <v>33685.8</v>
      </c>
      <c r="P250" s="125">
        <f>ROUND(IF(B250&lt;15,(Valores!$E$5*B250),Valores!$D$5),2)</f>
        <v>33853.68</v>
      </c>
      <c r="Q250" s="125">
        <v>0</v>
      </c>
      <c r="R250" s="125">
        <f>IF($F$4="NO",IF(Valores!$C$50*B250&gt;Valores!$F$47,Valores!$F$47,Valores!$C$50*B250),IF(Valores!$C$50*B250&gt;Valores!$F$47,Valores!$F$47,Valores!$C$50*B250)/2)</f>
        <v>17743.800000000003</v>
      </c>
      <c r="S250" s="125">
        <f>Valores!$C$18*B250</f>
        <v>10594.56</v>
      </c>
      <c r="T250" s="125">
        <f t="shared" si="40"/>
        <v>10594.56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IF(Valores!$C$99*B250&gt;Valores!$C$98,Valores!$C$98,Valores!$C$99*B250)</f>
        <v>32343.239999999998</v>
      </c>
      <c r="AA250" s="125">
        <f>IF((Valores!$C$28)*B250&gt;Valores!$F$28,Valores!$F$28,(Valores!$C$28)*B250)</f>
        <v>832.3199999999999</v>
      </c>
      <c r="AB250" s="214">
        <v>0</v>
      </c>
      <c r="AC250" s="125">
        <f t="shared" si="34"/>
        <v>0</v>
      </c>
      <c r="AD250" s="125">
        <f>IF(Valores!$C$29*B250&gt;Valores!$F$29,Valores!$F$29,Valores!$C$29*B250)</f>
        <v>693.12</v>
      </c>
      <c r="AE250" s="192">
        <v>94</v>
      </c>
      <c r="AF250" s="125">
        <f>ROUND(AE250*Valores!$C$2,2)</f>
        <v>7781.32</v>
      </c>
      <c r="AG250" s="125">
        <f>IF($F$4="NO",IF(Valores!$D$64*'Escala Docente'!B250&gt;Valores!$F$64,Valores!$F$64,Valores!$D$64*'Escala Docente'!B250),IF(Valores!$D$64*'Escala Docente'!B250&gt;Valores!$F$64,Valores!$F$64,Valores!$D$64*'Escala Docente'!B250)/2)+0.02</f>
        <v>15828.98</v>
      </c>
      <c r="AH250" s="125">
        <f>SUM(F250,H250,J250,L250,M250,N250,O250,P250,Q250,R250,T250,U250,V250,X250,Y250,Z250,AA250,AC250,AD250,AF250,AG250)*Valores!$C$104</f>
        <v>25853.571</v>
      </c>
      <c r="AI250" s="125">
        <f t="shared" si="37"/>
        <v>284389.281</v>
      </c>
      <c r="AJ250" s="125">
        <f>IF(Valores!$C$33*B250&gt;Valores!$F$33,Valores!$F$33,Valores!$C$33*B250)</f>
        <v>27999.999999999956</v>
      </c>
      <c r="AK250" s="125">
        <v>0</v>
      </c>
      <c r="AL250" s="125">
        <f>IF(Valores!$C$92*B250&gt;Valores!$C$91,Valores!$C$91,Valores!$C$92*B250)</f>
        <v>0</v>
      </c>
      <c r="AM250" s="125">
        <f>IF(Valores!C$40*B250&gt;Valores!F$39,Valores!F$39,Valores!C$40*B250)</f>
        <v>0</v>
      </c>
      <c r="AN250" s="125">
        <f>IF($F$3="NO",0,IF(Valores!$C$63*B250&gt;Valores!$F$63,Valores!$F$63,Valores!$C$63*B250))</f>
        <v>0</v>
      </c>
      <c r="AO250" s="125">
        <f t="shared" si="35"/>
        <v>27999.999999999956</v>
      </c>
      <c r="AP250" s="125">
        <f>AI250*Valores!$C$72</f>
        <v>-31282.820910000002</v>
      </c>
      <c r="AQ250" s="125">
        <f>IF(AI250&lt;Valores!$E$73,-0.02,IF(AI250&lt;Valores!$F$73,-0.03,-0.04))*AI250</f>
        <v>-5687.785620000001</v>
      </c>
      <c r="AR250" s="125">
        <f>AI250*Valores!$C$75</f>
        <v>-15641.410455000001</v>
      </c>
      <c r="AS250" s="125">
        <f>Valores!$C$102</f>
        <v>-1270.16</v>
      </c>
      <c r="AT250" s="125">
        <f>IF($F$5=0,Valores!$C$103,(Valores!$C$103+$F$5*(Valores!$C$103)))</f>
        <v>-11714</v>
      </c>
      <c r="AU250" s="125">
        <f t="shared" si="38"/>
        <v>246793.104015</v>
      </c>
      <c r="AV250" s="125">
        <f t="shared" si="32"/>
        <v>-31282.820910000002</v>
      </c>
      <c r="AW250" s="125">
        <f t="shared" si="39"/>
        <v>-5687.785620000001</v>
      </c>
      <c r="AX250" s="125">
        <f>AI250*Valores!$C$76</f>
        <v>-7678.510587000001</v>
      </c>
      <c r="AY250" s="125">
        <f>AI250*Valores!$C$77</f>
        <v>-853.1678430000001</v>
      </c>
      <c r="AZ250" s="125">
        <f t="shared" si="36"/>
        <v>266886.99603999994</v>
      </c>
      <c r="BA250" s="125">
        <f>AI250*Valores!$C$79</f>
        <v>45502.284960000005</v>
      </c>
      <c r="BB250" s="125">
        <f>AI250*Valores!$C$80</f>
        <v>19907.249670000005</v>
      </c>
      <c r="BC250" s="125">
        <f>AI250*Valores!$C$81</f>
        <v>2843.8928100000003</v>
      </c>
      <c r="BD250" s="125">
        <f>AI250*Valores!$C$83</f>
        <v>9953.624835000002</v>
      </c>
      <c r="BE250" s="125">
        <f>AI250*Valores!$C$85</f>
        <v>15357.021174000001</v>
      </c>
      <c r="BF250" s="125">
        <f>AI250*Valores!$C$84</f>
        <v>1706.3356860000001</v>
      </c>
      <c r="BG250" s="126"/>
      <c r="BH250" s="126">
        <f t="shared" si="41"/>
        <v>12</v>
      </c>
      <c r="BI250" s="123" t="s">
        <v>4</v>
      </c>
    </row>
    <row r="251" spans="1:61" s="110" customFormat="1" ht="11.25" customHeight="1">
      <c r="A251" s="123" t="s">
        <v>466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42"/>
        <v>1027</v>
      </c>
      <c r="F251" s="125">
        <f>ROUND(E251*Valores!$C$2,2)</f>
        <v>85015.06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28928.74</v>
      </c>
      <c r="N251" s="125">
        <f t="shared" si="33"/>
        <v>0</v>
      </c>
      <c r="O251" s="125">
        <f>Valores!$C$7*B251</f>
        <v>36492.950000000004</v>
      </c>
      <c r="P251" s="125">
        <f>ROUND(IF(B251&lt;15,(Valores!$E$5*B251),Valores!$D$5),2)</f>
        <v>36674.82</v>
      </c>
      <c r="Q251" s="125">
        <v>0</v>
      </c>
      <c r="R251" s="125">
        <f>IF($F$4="NO",IF(Valores!$C$50*B251&gt;Valores!$F$47,Valores!$F$47,Valores!$C$50*B251),IF(Valores!$C$50*B251&gt;Valores!$F$47,Valores!$F$47,Valores!$C$50*B251)/2)</f>
        <v>19222.45</v>
      </c>
      <c r="S251" s="125">
        <f>Valores!$C$18*B251</f>
        <v>11477.44</v>
      </c>
      <c r="T251" s="125">
        <f t="shared" si="40"/>
        <v>11477.44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IF(Valores!$C$99*B251&gt;Valores!$C$98,Valores!$C$98,Valores!$C$99*B251)</f>
        <v>35038.51</v>
      </c>
      <c r="AA251" s="125">
        <f>IF((Valores!$C$28)*B251&gt;Valores!$F$28,Valores!$F$28,(Valores!$C$28)*B251)</f>
        <v>901.68</v>
      </c>
      <c r="AB251" s="214">
        <v>0</v>
      </c>
      <c r="AC251" s="125">
        <f t="shared" si="34"/>
        <v>0</v>
      </c>
      <c r="AD251" s="125">
        <f>IF(Valores!$C$29*B251&gt;Valores!$F$29,Valores!$F$29,Valores!$C$29*B251)</f>
        <v>750.88</v>
      </c>
      <c r="AE251" s="192">
        <v>0</v>
      </c>
      <c r="AF251" s="125">
        <f>ROUND(AE251*Valores!$C$2,2)</f>
        <v>0</v>
      </c>
      <c r="AG251" s="125">
        <f>IF($F$4="NO",IF(Valores!$D$64*'Escala Docente'!B251&gt;Valores!$F$64,Valores!$F$64,Valores!$D$64*'Escala Docente'!B251),IF(Valores!$D$64*'Escala Docente'!B251&gt;Valores!$F$64,Valores!$F$64,Valores!$D$64*'Escala Docente'!B251)/2)+0.03</f>
        <v>17148.07</v>
      </c>
      <c r="AH251" s="125">
        <f>SUM(F251,H251,J251,L251,M251,N251,O251,P251,Q251,R251,T251,U251,V251,X251,Y251,Z251,AA251,AC251,AD251,AF251,AG251)*Valores!$C$104</f>
        <v>27165.060000000005</v>
      </c>
      <c r="AI251" s="125">
        <f t="shared" si="37"/>
        <v>298815.66000000003</v>
      </c>
      <c r="AJ251" s="125">
        <f>IF(Valores!$C$33*B251&gt;Valores!$F$33,Valores!$F$33,Valores!$C$33*B251)</f>
        <v>30333.33333333329</v>
      </c>
      <c r="AK251" s="125">
        <v>0</v>
      </c>
      <c r="AL251" s="125">
        <f>IF(Valores!$C$92*B251&gt;Valores!$C$91,Valores!$C$91,Valores!$C$92*B251)</f>
        <v>0</v>
      </c>
      <c r="AM251" s="125">
        <f>IF(Valores!C$40*B251&gt;Valores!F$39,Valores!F$39,Valores!C$40*B251)</f>
        <v>0</v>
      </c>
      <c r="AN251" s="125">
        <f>IF($F$3="NO",0,IF(Valores!$C$63*B251&gt;Valores!$F$63,Valores!$F$63,Valores!$C$63*B251))</f>
        <v>0</v>
      </c>
      <c r="AO251" s="125">
        <f t="shared" si="35"/>
        <v>30333.33333333329</v>
      </c>
      <c r="AP251" s="125">
        <f>AI251*Valores!$C$72</f>
        <v>-32869.7226</v>
      </c>
      <c r="AQ251" s="125">
        <f>IF(AI251&lt;Valores!$E$73,-0.02,IF(AI251&lt;Valores!$F$73,-0.03,-0.04))*AI251</f>
        <v>-5976.3132000000005</v>
      </c>
      <c r="AR251" s="125">
        <f>AI251*Valores!$C$75</f>
        <v>-16434.8613</v>
      </c>
      <c r="AS251" s="125">
        <f>Valores!$C$102</f>
        <v>-1270.16</v>
      </c>
      <c r="AT251" s="125">
        <f>IF($F$5=0,Valores!$C$103,(Valores!$C$103+$F$5*(Valores!$C$103)))</f>
        <v>-11714</v>
      </c>
      <c r="AU251" s="125">
        <f t="shared" si="38"/>
        <v>260883.9362333333</v>
      </c>
      <c r="AV251" s="125">
        <f t="shared" si="32"/>
        <v>-32869.7226</v>
      </c>
      <c r="AW251" s="125">
        <f t="shared" si="39"/>
        <v>-5976.3132000000005</v>
      </c>
      <c r="AX251" s="125">
        <f>AI251*Valores!$C$76</f>
        <v>-8068.022820000001</v>
      </c>
      <c r="AY251" s="125">
        <f>AI251*Valores!$C$77</f>
        <v>-896.4469800000002</v>
      </c>
      <c r="AZ251" s="125">
        <f t="shared" si="36"/>
        <v>281338.4877333334</v>
      </c>
      <c r="BA251" s="125">
        <f>AI251*Valores!$C$79</f>
        <v>47810.505600000004</v>
      </c>
      <c r="BB251" s="125">
        <f>AI251*Valores!$C$80</f>
        <v>20917.096200000004</v>
      </c>
      <c r="BC251" s="125">
        <f>AI251*Valores!$C$81</f>
        <v>2988.1566000000003</v>
      </c>
      <c r="BD251" s="125">
        <f>AI251*Valores!$C$83</f>
        <v>10458.548100000002</v>
      </c>
      <c r="BE251" s="125">
        <f>AI251*Valores!$C$85</f>
        <v>16136.045640000002</v>
      </c>
      <c r="BF251" s="125">
        <f>AI251*Valores!$C$84</f>
        <v>1792.8939600000003</v>
      </c>
      <c r="BG251" s="126"/>
      <c r="BH251" s="126">
        <f t="shared" si="41"/>
        <v>13</v>
      </c>
      <c r="BI251" s="123" t="s">
        <v>4</v>
      </c>
    </row>
    <row r="252" spans="1:61" s="110" customFormat="1" ht="11.25" customHeight="1">
      <c r="A252" s="123" t="s">
        <v>466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42"/>
        <v>1027</v>
      </c>
      <c r="F252" s="125">
        <f>ROUND(E252*Valores!$C$2,2)</f>
        <v>85015.06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28928.74</v>
      </c>
      <c r="N252" s="125">
        <f t="shared" si="33"/>
        <v>0</v>
      </c>
      <c r="O252" s="125">
        <f>Valores!$C$7*B252</f>
        <v>36492.950000000004</v>
      </c>
      <c r="P252" s="125">
        <f>ROUND(IF(B252&lt;15,(Valores!$E$5*B252),Valores!$D$5),2)</f>
        <v>36674.82</v>
      </c>
      <c r="Q252" s="125">
        <v>0</v>
      </c>
      <c r="R252" s="125">
        <f>IF($F$4="NO",IF(Valores!$C$50*B252&gt;Valores!$F$47,Valores!$F$47,Valores!$C$50*B252),IF(Valores!$C$50*B252&gt;Valores!$F$47,Valores!$F$47,Valores!$C$50*B252)/2)</f>
        <v>19222.45</v>
      </c>
      <c r="S252" s="125">
        <f>Valores!$C$18*B252</f>
        <v>11477.44</v>
      </c>
      <c r="T252" s="125">
        <f t="shared" si="40"/>
        <v>11477.44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IF(Valores!$C$99*B252&gt;Valores!$C$98,Valores!$C$98,Valores!$C$99*B252)</f>
        <v>35038.51</v>
      </c>
      <c r="AA252" s="125">
        <f>IF((Valores!$C$28)*B252&gt;Valores!$F$28,Valores!$F$28,(Valores!$C$28)*B252)</f>
        <v>901.68</v>
      </c>
      <c r="AB252" s="214">
        <v>0</v>
      </c>
      <c r="AC252" s="125">
        <f t="shared" si="34"/>
        <v>0</v>
      </c>
      <c r="AD252" s="125">
        <f>IF(Valores!$C$29*B252&gt;Valores!$F$29,Valores!$F$29,Valores!$C$29*B252)</f>
        <v>750.88</v>
      </c>
      <c r="AE252" s="192">
        <v>94</v>
      </c>
      <c r="AF252" s="125">
        <f>ROUND(AE252*Valores!$C$2,2)</f>
        <v>7781.32</v>
      </c>
      <c r="AG252" s="125">
        <f>IF($F$4="NO",IF(Valores!$D$64*'Escala Docente'!B252&gt;Valores!$F$64,Valores!$F$64,Valores!$D$64*'Escala Docente'!B252),IF(Valores!$D$64*'Escala Docente'!B252&gt;Valores!$F$64,Valores!$F$64,Valores!$D$64*'Escala Docente'!B252)/2)+0.03</f>
        <v>17148.07</v>
      </c>
      <c r="AH252" s="125">
        <f>SUM(F252,H252,J252,L252,M252,N252,O252,P252,Q252,R252,T252,U252,V252,X252,Y252,Z252,AA252,AC252,AD252,AF252,AG252)*Valores!$C$104</f>
        <v>27943.192000000006</v>
      </c>
      <c r="AI252" s="125">
        <f t="shared" si="37"/>
        <v>307375.112</v>
      </c>
      <c r="AJ252" s="125">
        <f>IF(Valores!$C$33*B252&gt;Valores!$F$33,Valores!$F$33,Valores!$C$33*B252)</f>
        <v>30333.33333333329</v>
      </c>
      <c r="AK252" s="125">
        <v>0</v>
      </c>
      <c r="AL252" s="125">
        <f>IF(Valores!$C$92*B252&gt;Valores!$C$91,Valores!$C$91,Valores!$C$92*B252)</f>
        <v>0</v>
      </c>
      <c r="AM252" s="125">
        <f>IF(Valores!C$40*B252&gt;Valores!F$39,Valores!F$39,Valores!C$40*B252)</f>
        <v>0</v>
      </c>
      <c r="AN252" s="125">
        <f>IF($F$3="NO",0,IF(Valores!$C$63*B252&gt;Valores!$F$63,Valores!$F$63,Valores!$C$63*B252))</f>
        <v>0</v>
      </c>
      <c r="AO252" s="125">
        <f t="shared" si="35"/>
        <v>30333.33333333329</v>
      </c>
      <c r="AP252" s="125">
        <f>AI252*Valores!$C$72</f>
        <v>-33811.26232</v>
      </c>
      <c r="AQ252" s="125">
        <f>IF(AI252&lt;Valores!$E$73,-0.02,IF(AI252&lt;Valores!$F$73,-0.03,-0.04))*AI252</f>
        <v>-6147.502240000001</v>
      </c>
      <c r="AR252" s="125">
        <f>AI252*Valores!$C$75</f>
        <v>-16905.63116</v>
      </c>
      <c r="AS252" s="125">
        <f>Valores!$C$102</f>
        <v>-1270.16</v>
      </c>
      <c r="AT252" s="125">
        <f>IF($F$5=0,Valores!$C$103,(Valores!$C$103+$F$5*(Valores!$C$103)))</f>
        <v>-11714</v>
      </c>
      <c r="AU252" s="125">
        <f t="shared" si="38"/>
        <v>267859.8896133333</v>
      </c>
      <c r="AV252" s="125">
        <f t="shared" si="32"/>
        <v>-33811.26232</v>
      </c>
      <c r="AW252" s="125">
        <f t="shared" si="39"/>
        <v>-6147.502240000001</v>
      </c>
      <c r="AX252" s="125">
        <f>AI252*Valores!$C$76</f>
        <v>-8299.128024</v>
      </c>
      <c r="AY252" s="125">
        <f>AI252*Valores!$C$77</f>
        <v>-922.1253360000001</v>
      </c>
      <c r="AZ252" s="125">
        <f t="shared" si="36"/>
        <v>288528.4274133333</v>
      </c>
      <c r="BA252" s="125">
        <f>AI252*Valores!$C$79</f>
        <v>49180.017920000006</v>
      </c>
      <c r="BB252" s="125">
        <f>AI252*Valores!$C$80</f>
        <v>21516.257840000002</v>
      </c>
      <c r="BC252" s="125">
        <f>AI252*Valores!$C$81</f>
        <v>3073.7511200000004</v>
      </c>
      <c r="BD252" s="125">
        <f>AI252*Valores!$C$83</f>
        <v>10758.128920000001</v>
      </c>
      <c r="BE252" s="125">
        <f>AI252*Valores!$C$85</f>
        <v>16598.256048</v>
      </c>
      <c r="BF252" s="125">
        <f>AI252*Valores!$C$84</f>
        <v>1844.2506720000001</v>
      </c>
      <c r="BG252" s="126"/>
      <c r="BH252" s="126">
        <f t="shared" si="41"/>
        <v>13</v>
      </c>
      <c r="BI252" s="123" t="s">
        <v>4</v>
      </c>
    </row>
    <row r="253" spans="1:61" s="110" customFormat="1" ht="11.25" customHeight="1">
      <c r="A253" s="123" t="s">
        <v>466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42"/>
        <v>1106</v>
      </c>
      <c r="F253" s="125">
        <f>ROUND(E253*Valores!$C$2,2)</f>
        <v>91554.68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31154.03</v>
      </c>
      <c r="N253" s="125">
        <f t="shared" si="33"/>
        <v>0</v>
      </c>
      <c r="O253" s="125">
        <f>Valores!$C$7*B253</f>
        <v>39300.1</v>
      </c>
      <c r="P253" s="125">
        <f>ROUND(IF(B253&lt;15,(Valores!$E$5*B253),Valores!$D$5),2)</f>
        <v>39495.96</v>
      </c>
      <c r="Q253" s="125">
        <v>0</v>
      </c>
      <c r="R253" s="125">
        <f>IF($F$4="NO",IF(Valores!$C$50*B253&gt;Valores!$F$47,Valores!$F$47,Valores!$C$50*B253),IF(Valores!$C$50*B253&gt;Valores!$F$47,Valores!$F$47,Valores!$C$50*B253)/2)</f>
        <v>20701.100000000002</v>
      </c>
      <c r="S253" s="125">
        <f>Valores!$C$18*B253</f>
        <v>12360.32</v>
      </c>
      <c r="T253" s="125">
        <f t="shared" si="40"/>
        <v>12360.32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IF(Valores!$C$99*B253&gt;Valores!$C$98,Valores!$C$98,Valores!$C$99*B253)</f>
        <v>37733.78</v>
      </c>
      <c r="AA253" s="125">
        <f>IF((Valores!$C$28)*B253&gt;Valores!$F$28,Valores!$F$28,(Valores!$C$28)*B253)</f>
        <v>971.04</v>
      </c>
      <c r="AB253" s="214">
        <v>0</v>
      </c>
      <c r="AC253" s="125">
        <f t="shared" si="34"/>
        <v>0</v>
      </c>
      <c r="AD253" s="125">
        <f>IF(Valores!$C$29*B253&gt;Valores!$F$29,Valores!$F$29,Valores!$C$29*B253)</f>
        <v>808.64</v>
      </c>
      <c r="AE253" s="192">
        <v>0</v>
      </c>
      <c r="AF253" s="125">
        <f>ROUND(AE253*Valores!$C$2,2)</f>
        <v>0</v>
      </c>
      <c r="AG253" s="125">
        <f>IF($F$4="NO",IF(Valores!$D$64*'Escala Docente'!B253&gt;Valores!$F$64,Valores!$F$64,Valores!$D$64*'Escala Docente'!B253),IF(Valores!$D$64*'Escala Docente'!B253&gt;Valores!$F$64,Valores!$F$64,Valores!$D$64*'Escala Docente'!B253)/2)+0.03</f>
        <v>18467.149999999998</v>
      </c>
      <c r="AH253" s="125">
        <f>SUM(F253,H253,J253,L253,M253,N253,O253,P253,Q253,R253,T253,U253,V253,X253,Y253,Z253,AA253,AC253,AD253,AF253,AG253)*Valores!$C$104</f>
        <v>29254.68</v>
      </c>
      <c r="AI253" s="125">
        <f t="shared" si="37"/>
        <v>321801.48</v>
      </c>
      <c r="AJ253" s="125">
        <f>IF(Valores!$C$33*B253&gt;Valores!$F$33,Valores!$F$33,Valores!$C$33*B253)</f>
        <v>32666.666666666617</v>
      </c>
      <c r="AK253" s="125">
        <v>0</v>
      </c>
      <c r="AL253" s="125">
        <f>IF(Valores!$C$92*B253&gt;Valores!$C$91,Valores!$C$91,Valores!$C$92*B253)</f>
        <v>0</v>
      </c>
      <c r="AM253" s="125">
        <f>IF(Valores!C$40*B253&gt;Valores!F$39,Valores!F$39,Valores!C$40*B253)</f>
        <v>0</v>
      </c>
      <c r="AN253" s="125">
        <f>IF($F$3="NO",0,IF(Valores!$C$63*B253&gt;Valores!$F$63,Valores!$F$63,Valores!$C$63*B253))</f>
        <v>0</v>
      </c>
      <c r="AO253" s="125">
        <f t="shared" si="35"/>
        <v>32666.666666666617</v>
      </c>
      <c r="AP253" s="125">
        <f>AI253*Valores!$C$72</f>
        <v>-35398.1628</v>
      </c>
      <c r="AQ253" s="125">
        <f>IF(AI253&lt;Valores!$E$73,-0.02,IF(AI253&lt;Valores!$F$73,-0.03,-0.04))*AI253</f>
        <v>-6436.0296</v>
      </c>
      <c r="AR253" s="125">
        <f>AI253*Valores!$C$75</f>
        <v>-17699.0814</v>
      </c>
      <c r="AS253" s="125">
        <f>Valores!$C$102</f>
        <v>-1270.16</v>
      </c>
      <c r="AT253" s="125">
        <f>IF($F$5=0,Valores!$C$103,(Valores!$C$103+$F$5*(Valores!$C$103)))</f>
        <v>-11714</v>
      </c>
      <c r="AU253" s="125">
        <f t="shared" si="38"/>
        <v>281950.7128666666</v>
      </c>
      <c r="AV253" s="125">
        <f t="shared" si="32"/>
        <v>-35398.1628</v>
      </c>
      <c r="AW253" s="125">
        <f t="shared" si="39"/>
        <v>-6436.0296</v>
      </c>
      <c r="AX253" s="125">
        <f>AI253*Valores!$C$76</f>
        <v>-8688.639959999999</v>
      </c>
      <c r="AY253" s="125">
        <f>AI253*Valores!$C$77</f>
        <v>-965.4044399999999</v>
      </c>
      <c r="AZ253" s="125">
        <f t="shared" si="36"/>
        <v>302979.9098666666</v>
      </c>
      <c r="BA253" s="125">
        <f>AI253*Valores!$C$79</f>
        <v>51488.2368</v>
      </c>
      <c r="BB253" s="125">
        <f>AI253*Valores!$C$80</f>
        <v>22526.103600000002</v>
      </c>
      <c r="BC253" s="125">
        <f>AI253*Valores!$C$81</f>
        <v>3218.0148</v>
      </c>
      <c r="BD253" s="125">
        <f>AI253*Valores!$C$83</f>
        <v>11263.051800000001</v>
      </c>
      <c r="BE253" s="125">
        <f>AI253*Valores!$C$85</f>
        <v>17377.279919999997</v>
      </c>
      <c r="BF253" s="125">
        <f>AI253*Valores!$C$84</f>
        <v>1930.8088799999998</v>
      </c>
      <c r="BG253" s="126"/>
      <c r="BH253" s="126">
        <f t="shared" si="41"/>
        <v>14</v>
      </c>
      <c r="BI253" s="123" t="s">
        <v>4</v>
      </c>
    </row>
    <row r="254" spans="1:61" s="110" customFormat="1" ht="11.25" customHeight="1">
      <c r="A254" s="123" t="s">
        <v>466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42"/>
        <v>1106</v>
      </c>
      <c r="F254" s="125">
        <f>ROUND(E254*Valores!$C$2,2)</f>
        <v>91554.68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31154.03</v>
      </c>
      <c r="N254" s="125">
        <f t="shared" si="33"/>
        <v>0</v>
      </c>
      <c r="O254" s="125">
        <f>Valores!$C$7*B254</f>
        <v>39300.1</v>
      </c>
      <c r="P254" s="125">
        <f>ROUND(IF(B254&lt;15,(Valores!$E$5*B254),Valores!$D$5),2)</f>
        <v>39495.96</v>
      </c>
      <c r="Q254" s="125">
        <v>0</v>
      </c>
      <c r="R254" s="125">
        <f>IF($F$4="NO",IF(Valores!$C$50*B254&gt;Valores!$F$47,Valores!$F$47,Valores!$C$50*B254),IF(Valores!$C$50*B254&gt;Valores!$F$47,Valores!$F$47,Valores!$C$50*B254)/2)</f>
        <v>20701.100000000002</v>
      </c>
      <c r="S254" s="125">
        <f>Valores!$C$18*B254</f>
        <v>12360.32</v>
      </c>
      <c r="T254" s="125">
        <f t="shared" si="40"/>
        <v>12360.32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IF(Valores!$C$99*B254&gt;Valores!$C$98,Valores!$C$98,Valores!$C$99*B254)</f>
        <v>37733.78</v>
      </c>
      <c r="AA254" s="125">
        <f>IF((Valores!$C$28)*B254&gt;Valores!$F$28,Valores!$F$28,(Valores!$C$28)*B254)</f>
        <v>971.04</v>
      </c>
      <c r="AB254" s="214">
        <v>0</v>
      </c>
      <c r="AC254" s="125">
        <f t="shared" si="34"/>
        <v>0</v>
      </c>
      <c r="AD254" s="125">
        <f>IF(Valores!$C$29*B254&gt;Valores!$F$29,Valores!$F$29,Valores!$C$29*B254)</f>
        <v>808.64</v>
      </c>
      <c r="AE254" s="192">
        <v>94</v>
      </c>
      <c r="AF254" s="125">
        <f>ROUND(AE254*Valores!$C$2,2)</f>
        <v>7781.32</v>
      </c>
      <c r="AG254" s="125">
        <f>IF($F$4="NO",IF(Valores!$D$64*'Escala Docente'!B254&gt;Valores!$F$64,Valores!$F$64,Valores!$D$64*'Escala Docente'!B254),IF(Valores!$D$64*'Escala Docente'!B254&gt;Valores!$F$64,Valores!$F$64,Valores!$D$64*'Escala Docente'!B254)/2)+0.03</f>
        <v>18467.149999999998</v>
      </c>
      <c r="AH254" s="125">
        <f>SUM(F254,H254,J254,L254,M254,N254,O254,P254,Q254,R254,T254,U254,V254,X254,Y254,Z254,AA254,AC254,AD254,AF254,AG254)*Valores!$C$104</f>
        <v>30032.812</v>
      </c>
      <c r="AI254" s="125">
        <f t="shared" si="37"/>
        <v>330360.932</v>
      </c>
      <c r="AJ254" s="125">
        <f>IF(Valores!$C$33*B254&gt;Valores!$F$33,Valores!$F$33,Valores!$C$33*B254)</f>
        <v>32666.666666666617</v>
      </c>
      <c r="AK254" s="125">
        <v>0</v>
      </c>
      <c r="AL254" s="125">
        <f>IF(Valores!$C$92*B254&gt;Valores!$C$91,Valores!$C$91,Valores!$C$92*B254)</f>
        <v>0</v>
      </c>
      <c r="AM254" s="125">
        <f>IF(Valores!C$40*B254&gt;Valores!F$39,Valores!F$39,Valores!C$40*B254)</f>
        <v>0</v>
      </c>
      <c r="AN254" s="125">
        <f>IF($F$3="NO",0,IF(Valores!$C$63*B254&gt;Valores!$F$63,Valores!$F$63,Valores!$C$63*B254))</f>
        <v>0</v>
      </c>
      <c r="AO254" s="125">
        <f t="shared" si="35"/>
        <v>32666.666666666617</v>
      </c>
      <c r="AP254" s="125">
        <f>AI254*Valores!$C$72</f>
        <v>-36339.70252</v>
      </c>
      <c r="AQ254" s="125">
        <f>IF(AI254&lt;Valores!$E$73,-0.02,IF(AI254&lt;Valores!$F$73,-0.03,-0.04))*AI254</f>
        <v>-6607.218639999999</v>
      </c>
      <c r="AR254" s="125">
        <f>AI254*Valores!$C$75</f>
        <v>-18169.85126</v>
      </c>
      <c r="AS254" s="125">
        <f>Valores!$C$102</f>
        <v>-1270.16</v>
      </c>
      <c r="AT254" s="125">
        <f>IF($F$5=0,Valores!$C$103,(Valores!$C$103+$F$5*(Valores!$C$103)))</f>
        <v>-11714</v>
      </c>
      <c r="AU254" s="125">
        <f t="shared" si="38"/>
        <v>288926.6662466666</v>
      </c>
      <c r="AV254" s="125">
        <f t="shared" si="32"/>
        <v>-36339.70252</v>
      </c>
      <c r="AW254" s="125">
        <f t="shared" si="39"/>
        <v>-6607.218639999999</v>
      </c>
      <c r="AX254" s="125">
        <f>AI254*Valores!$C$76</f>
        <v>-8919.745164</v>
      </c>
      <c r="AY254" s="125">
        <f>AI254*Valores!$C$77</f>
        <v>-991.0827959999999</v>
      </c>
      <c r="AZ254" s="125">
        <f t="shared" si="36"/>
        <v>310169.8495466666</v>
      </c>
      <c r="BA254" s="125">
        <f>AI254*Valores!$C$79</f>
        <v>52857.74911999999</v>
      </c>
      <c r="BB254" s="125">
        <f>AI254*Valores!$C$80</f>
        <v>23125.26524</v>
      </c>
      <c r="BC254" s="125">
        <f>AI254*Valores!$C$81</f>
        <v>3303.6093199999996</v>
      </c>
      <c r="BD254" s="125">
        <f>AI254*Valores!$C$83</f>
        <v>11562.63262</v>
      </c>
      <c r="BE254" s="125">
        <f>AI254*Valores!$C$85</f>
        <v>17839.490328</v>
      </c>
      <c r="BF254" s="125">
        <f>AI254*Valores!$C$84</f>
        <v>1982.1655919999998</v>
      </c>
      <c r="BG254" s="126"/>
      <c r="BH254" s="126">
        <f t="shared" si="41"/>
        <v>14</v>
      </c>
      <c r="BI254" s="123" t="s">
        <v>4</v>
      </c>
    </row>
    <row r="255" spans="1:61" s="110" customFormat="1" ht="11.25" customHeight="1">
      <c r="A255" s="123" t="s">
        <v>466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42"/>
        <v>1185</v>
      </c>
      <c r="F255" s="125">
        <f>ROUND(E255*Valores!$C$2,2)</f>
        <v>98094.3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33379.31</v>
      </c>
      <c r="N255" s="125">
        <f t="shared" si="33"/>
        <v>0</v>
      </c>
      <c r="O255" s="125">
        <f>Valores!$C$7*B255</f>
        <v>42107.25</v>
      </c>
      <c r="P255" s="125">
        <f>ROUND(IF(B255&lt;15,(Valores!$E$5*B255),Valores!$D$5),2)</f>
        <v>42317.14</v>
      </c>
      <c r="Q255" s="125">
        <v>0</v>
      </c>
      <c r="R255" s="125">
        <f>IF($F$4="NO",IF(Valores!$C$50*B255&gt;Valores!$F$47,Valores!$F$47,Valores!$C$50*B255),IF(Valores!$C$50*B255&gt;Valores!$F$47,Valores!$F$47,Valores!$C$50*B255)/2)</f>
        <v>22179.75</v>
      </c>
      <c r="S255" s="125">
        <f>Valores!$C$18*B255</f>
        <v>13243.2</v>
      </c>
      <c r="T255" s="125">
        <f t="shared" si="40"/>
        <v>13243.2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IF(Valores!$C$99*B255&gt;Valores!$C$98,Valores!$C$98,Valores!$C$99*B255)</f>
        <v>40429.05</v>
      </c>
      <c r="AA255" s="125">
        <f>IF((Valores!$C$28)*B255&gt;Valores!$F$28,Valores!$F$28,(Valores!$C$28)*B255)</f>
        <v>1040.4</v>
      </c>
      <c r="AB255" s="214">
        <v>0</v>
      </c>
      <c r="AC255" s="125">
        <f t="shared" si="34"/>
        <v>0</v>
      </c>
      <c r="AD255" s="125">
        <f>IF(Valores!$C$29*B255&gt;Valores!$F$29,Valores!$F$29,Valores!$C$29*B255)</f>
        <v>866.4</v>
      </c>
      <c r="AE255" s="192">
        <v>0</v>
      </c>
      <c r="AF255" s="125">
        <f>ROUND(AE255*Valores!$C$2,2)</f>
        <v>0</v>
      </c>
      <c r="AG255" s="125">
        <f>IF($F$4="NO",IF(Valores!$D$64*'Escala Docente'!B255&gt;Valores!$F$64,Valores!$F$64,Valores!$D$64*'Escala Docente'!B255),IF(Valores!$D$64*'Escala Docente'!B255&gt;Valores!$F$64,Valores!$F$64,Valores!$D$64*'Escala Docente'!B255)/2)+0.03</f>
        <v>19786.229999999996</v>
      </c>
      <c r="AH255" s="125">
        <f>SUM(F255,H255,J255,L255,M255,N255,O255,P255,Q255,R255,T255,U255,V255,X255,Y255,Z255,AA255,AC255,AD255,AF255,AG255)*Valores!$C$104</f>
        <v>31344.303000000004</v>
      </c>
      <c r="AI255" s="125">
        <f t="shared" si="37"/>
        <v>344787.33300000004</v>
      </c>
      <c r="AJ255" s="125">
        <f>IF(Valores!$C$33*B255&gt;Valores!$F$33,Valores!$F$33,Valores!$C$33*B255)</f>
        <v>34999.99999999995</v>
      </c>
      <c r="AK255" s="125">
        <v>0</v>
      </c>
      <c r="AL255" s="125">
        <f>IF(Valores!$C$92*B255&gt;Valores!$C$91,Valores!$C$91,Valores!$C$92*B255)</f>
        <v>0</v>
      </c>
      <c r="AM255" s="125">
        <f>IF(Valores!C$40*B255&gt;Valores!F$39,Valores!F$39,Valores!C$40*B255)</f>
        <v>0</v>
      </c>
      <c r="AN255" s="125">
        <f>IF($F$3="NO",0,IF(Valores!$C$63*B255&gt;Valores!$F$63,Valores!$F$63,Valores!$C$63*B255))</f>
        <v>0</v>
      </c>
      <c r="AO255" s="125">
        <f t="shared" si="35"/>
        <v>34999.99999999995</v>
      </c>
      <c r="AP255" s="125">
        <f>AI255*Valores!$C$72</f>
        <v>-37926.60663</v>
      </c>
      <c r="AQ255" s="125">
        <f>IF(AI255&lt;Valores!$E$73,-0.02,IF(AI255&lt;Valores!$F$73,-0.03,-0.04))*AI255</f>
        <v>-6895.746660000001</v>
      </c>
      <c r="AR255" s="125">
        <f>AI255*Valores!$C$75</f>
        <v>-18963.303315</v>
      </c>
      <c r="AS255" s="125">
        <f>Valores!$C$102</f>
        <v>-1270.16</v>
      </c>
      <c r="AT255" s="125">
        <f>IF($F$5=0,Valores!$C$103,(Valores!$C$103+$F$5*(Valores!$C$103)))</f>
        <v>-11714</v>
      </c>
      <c r="AU255" s="125">
        <f t="shared" si="38"/>
        <v>303017.516395</v>
      </c>
      <c r="AV255" s="125">
        <f t="shared" si="32"/>
        <v>-37926.60663</v>
      </c>
      <c r="AW255" s="125">
        <f t="shared" si="39"/>
        <v>-6895.746660000001</v>
      </c>
      <c r="AX255" s="125">
        <f>AI255*Valores!$C$76</f>
        <v>-9309.257991</v>
      </c>
      <c r="AY255" s="125">
        <f>AI255*Valores!$C$77</f>
        <v>-1034.3619990000002</v>
      </c>
      <c r="AZ255" s="125">
        <f t="shared" si="36"/>
        <v>324621.35972</v>
      </c>
      <c r="BA255" s="125">
        <f>AI255*Valores!$C$79</f>
        <v>55165.973280000006</v>
      </c>
      <c r="BB255" s="125">
        <f>AI255*Valores!$C$80</f>
        <v>24135.113310000004</v>
      </c>
      <c r="BC255" s="125">
        <f>AI255*Valores!$C$81</f>
        <v>3447.8733300000004</v>
      </c>
      <c r="BD255" s="125">
        <f>AI255*Valores!$C$83</f>
        <v>12067.556655000002</v>
      </c>
      <c r="BE255" s="125">
        <f>AI255*Valores!$C$85</f>
        <v>18618.515982</v>
      </c>
      <c r="BF255" s="125">
        <f>AI255*Valores!$C$84</f>
        <v>2068.7239980000004</v>
      </c>
      <c r="BG255" s="126"/>
      <c r="BH255" s="126">
        <f aca="true" t="shared" si="43" ref="BH255:BH286">1*B255</f>
        <v>15</v>
      </c>
      <c r="BI255" s="123" t="s">
        <v>4</v>
      </c>
    </row>
    <row r="256" spans="1:61" s="110" customFormat="1" ht="11.25" customHeight="1">
      <c r="A256" s="123" t="s">
        <v>466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42"/>
        <v>1185</v>
      </c>
      <c r="F256" s="125">
        <f>ROUND(E256*Valores!$C$2,2)</f>
        <v>98094.3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33379.31</v>
      </c>
      <c r="N256" s="125">
        <f t="shared" si="33"/>
        <v>0</v>
      </c>
      <c r="O256" s="125">
        <f>Valores!$C$7*B256</f>
        <v>42107.25</v>
      </c>
      <c r="P256" s="125">
        <f>ROUND(IF(B256&lt;15,(Valores!$E$5*B256),Valores!$D$5),2)</f>
        <v>42317.14</v>
      </c>
      <c r="Q256" s="125">
        <v>0</v>
      </c>
      <c r="R256" s="125">
        <f>IF($F$4="NO",IF(Valores!$C$50*B256&gt;Valores!$F$47,Valores!$F$47,Valores!$C$50*B256),IF(Valores!$C$50*B256&gt;Valores!$F$47,Valores!$F$47,Valores!$C$50*B256)/2)</f>
        <v>22179.75</v>
      </c>
      <c r="S256" s="125">
        <f>Valores!$C$18*B256</f>
        <v>13243.2</v>
      </c>
      <c r="T256" s="125">
        <f t="shared" si="40"/>
        <v>13243.2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IF(Valores!$C$99*B256&gt;Valores!$C$98,Valores!$C$98,Valores!$C$99*B256)</f>
        <v>40429.05</v>
      </c>
      <c r="AA256" s="125">
        <f>IF((Valores!$C$28)*B256&gt;Valores!$F$28,Valores!$F$28,(Valores!$C$28)*B256)</f>
        <v>1040.4</v>
      </c>
      <c r="AB256" s="214">
        <v>0</v>
      </c>
      <c r="AC256" s="125">
        <f t="shared" si="34"/>
        <v>0</v>
      </c>
      <c r="AD256" s="125">
        <f>IF(Valores!$C$29*B256&gt;Valores!$F$29,Valores!$F$29,Valores!$C$29*B256)</f>
        <v>866.4</v>
      </c>
      <c r="AE256" s="192">
        <v>94</v>
      </c>
      <c r="AF256" s="125">
        <f>ROUND(AE256*Valores!$C$2,2)</f>
        <v>7781.32</v>
      </c>
      <c r="AG256" s="125">
        <f>IF($F$4="NO",IF(Valores!$D$64*'Escala Docente'!B256&gt;Valores!$F$64,Valores!$F$64,Valores!$D$64*'Escala Docente'!B256),IF(Valores!$D$64*'Escala Docente'!B256&gt;Valores!$F$64,Valores!$F$64,Valores!$D$64*'Escala Docente'!B256)/2)+0.03</f>
        <v>19786.229999999996</v>
      </c>
      <c r="AH256" s="125">
        <f>SUM(F256,H256,J256,L256,M256,N256,O256,P256,Q256,R256,T256,U256,V256,X256,Y256,Z256,AA256,AC256,AD256,AF256,AG256)*Valores!$C$104</f>
        <v>32122.435000000005</v>
      </c>
      <c r="AI256" s="125">
        <f t="shared" si="37"/>
        <v>353346.78500000003</v>
      </c>
      <c r="AJ256" s="125">
        <f>IF(Valores!$C$33*B256&gt;Valores!$F$33,Valores!$F$33,Valores!$C$33*B256)</f>
        <v>34999.99999999995</v>
      </c>
      <c r="AK256" s="125">
        <v>0</v>
      </c>
      <c r="AL256" s="125">
        <f>IF(Valores!$C$92*B256&gt;Valores!$C$91,Valores!$C$91,Valores!$C$92*B256)</f>
        <v>0</v>
      </c>
      <c r="AM256" s="125">
        <f>IF(Valores!C$40*B256&gt;Valores!F$39,Valores!F$39,Valores!C$40*B256)</f>
        <v>0</v>
      </c>
      <c r="AN256" s="125">
        <f>IF($F$3="NO",0,IF(Valores!$C$63*B256&gt;Valores!$F$63,Valores!$F$63,Valores!$C$63*B256))</f>
        <v>0</v>
      </c>
      <c r="AO256" s="125">
        <f t="shared" si="35"/>
        <v>34999.99999999995</v>
      </c>
      <c r="AP256" s="125">
        <f>AI256*Valores!$C$72</f>
        <v>-38868.14635</v>
      </c>
      <c r="AQ256" s="125">
        <f>IF(AI256&lt;Valores!$E$73,-0.02,IF(AI256&lt;Valores!$F$73,-0.03,-0.04))*AI256</f>
        <v>-7066.935700000001</v>
      </c>
      <c r="AR256" s="125">
        <f>AI256*Valores!$C$75</f>
        <v>-19434.073175</v>
      </c>
      <c r="AS256" s="125">
        <f>Valores!$C$102</f>
        <v>-1270.16</v>
      </c>
      <c r="AT256" s="125">
        <f>IF($F$5=0,Valores!$C$103,(Valores!$C$103+$F$5*(Valores!$C$103)))</f>
        <v>-11714</v>
      </c>
      <c r="AU256" s="125">
        <f t="shared" si="38"/>
        <v>309993.469775</v>
      </c>
      <c r="AV256" s="125">
        <f t="shared" si="32"/>
        <v>-38868.14635</v>
      </c>
      <c r="AW256" s="125">
        <f t="shared" si="39"/>
        <v>-7066.935700000001</v>
      </c>
      <c r="AX256" s="125">
        <f>AI256*Valores!$C$76</f>
        <v>-9540.363195</v>
      </c>
      <c r="AY256" s="125">
        <f>AI256*Valores!$C$77</f>
        <v>-1060.040355</v>
      </c>
      <c r="AZ256" s="125">
        <f t="shared" si="36"/>
        <v>331811.29939999996</v>
      </c>
      <c r="BA256" s="125">
        <f>AI256*Valores!$C$79</f>
        <v>56535.48560000001</v>
      </c>
      <c r="BB256" s="125">
        <f>AI256*Valores!$C$80</f>
        <v>24734.274950000006</v>
      </c>
      <c r="BC256" s="125">
        <f>AI256*Valores!$C$81</f>
        <v>3533.4678500000005</v>
      </c>
      <c r="BD256" s="125">
        <f>AI256*Valores!$C$83</f>
        <v>12367.137475000003</v>
      </c>
      <c r="BE256" s="125">
        <f>AI256*Valores!$C$85</f>
        <v>19080.72639</v>
      </c>
      <c r="BF256" s="125">
        <f>AI256*Valores!$C$84</f>
        <v>2120.08071</v>
      </c>
      <c r="BG256" s="126"/>
      <c r="BH256" s="126">
        <f t="shared" si="43"/>
        <v>15</v>
      </c>
      <c r="BI256" s="123" t="s">
        <v>4</v>
      </c>
    </row>
    <row r="257" spans="1:61" s="110" customFormat="1" ht="11.25" customHeight="1">
      <c r="A257" s="123" t="s">
        <v>466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42"/>
        <v>1264</v>
      </c>
      <c r="F257" s="125">
        <f>ROUND(E257*Valores!$C$2,2)</f>
        <v>104633.92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35604.6</v>
      </c>
      <c r="N257" s="125">
        <f t="shared" si="33"/>
        <v>0</v>
      </c>
      <c r="O257" s="125">
        <f>Valores!$C$7*B257</f>
        <v>44914.4</v>
      </c>
      <c r="P257" s="125">
        <f>ROUND(IF(B257&lt;15,(Valores!$E$5*B257),Valores!$D$5),2)</f>
        <v>42317.14</v>
      </c>
      <c r="Q257" s="125">
        <v>0</v>
      </c>
      <c r="R257" s="125">
        <f>IF($F$4="NO",IF(Valores!$C$50*B257&gt;Valores!$F$47,Valores!$F$47,Valores!$C$50*B257),IF(Valores!$C$50*B257&gt;Valores!$F$47,Valores!$F$47,Valores!$C$50*B257)/2)</f>
        <v>23658.4</v>
      </c>
      <c r="S257" s="125">
        <f>Valores!$C$18*B257</f>
        <v>14126.08</v>
      </c>
      <c r="T257" s="125">
        <f t="shared" si="40"/>
        <v>14126.08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IF(Valores!$C$99*B257&gt;Valores!$C$98,Valores!$C$98,Valores!$C$99*B257)</f>
        <v>43124.32</v>
      </c>
      <c r="AA257" s="125">
        <f>IF((Valores!$C$28)*B257&gt;Valores!$F$28,Valores!$F$28,(Valores!$C$28)*B257)</f>
        <v>1109.76</v>
      </c>
      <c r="AB257" s="214">
        <v>0</v>
      </c>
      <c r="AC257" s="125">
        <f t="shared" si="34"/>
        <v>0</v>
      </c>
      <c r="AD257" s="125">
        <f>IF(Valores!$C$29*B257&gt;Valores!$F$29,Valores!$F$29,Valores!$C$29*B257)</f>
        <v>924.16</v>
      </c>
      <c r="AE257" s="192">
        <v>0</v>
      </c>
      <c r="AF257" s="125">
        <f>ROUND(AE257*Valores!$C$2,2)</f>
        <v>0</v>
      </c>
      <c r="AG257" s="125">
        <f>IF($F$4="NO",IF(Valores!$D$64*'Escala Docente'!B257&gt;Valores!$F$64,Valores!$F$64,Valores!$D$64*'Escala Docente'!B257),IF(Valores!$D$64*'Escala Docente'!B257&gt;Valores!$F$64,Valores!$F$64,Valores!$D$64*'Escala Docente'!B257)/2)+0.03</f>
        <v>21105.309999999998</v>
      </c>
      <c r="AH257" s="125">
        <f>SUM(F257,H257,J257,L257,M257,N257,O257,P257,Q257,R257,T257,U257,V257,X257,Y257,Z257,AA257,AC257,AD257,AF257,AG257)*Valores!$C$104</f>
        <v>33151.809</v>
      </c>
      <c r="AI257" s="125">
        <f t="shared" si="37"/>
        <v>364669.899</v>
      </c>
      <c r="AJ257" s="125">
        <f>IF(Valores!$C$33*B257&gt;Valores!$F$33,Valores!$F$33,Valores!$C$33*B257)</f>
        <v>37333.33333333328</v>
      </c>
      <c r="AK257" s="125">
        <v>0</v>
      </c>
      <c r="AL257" s="125">
        <f>IF(Valores!$C$92*B257&gt;Valores!$C$91,Valores!$C$91,Valores!$C$92*B257)</f>
        <v>0</v>
      </c>
      <c r="AM257" s="125">
        <f>IF(Valores!C$40*B257&gt;Valores!F$39,Valores!F$39,Valores!C$40*B257)</f>
        <v>0</v>
      </c>
      <c r="AN257" s="125">
        <f>IF($F$3="NO",0,IF(Valores!$C$63*B257&gt;Valores!$F$63,Valores!$F$63,Valores!$C$63*B257))</f>
        <v>0</v>
      </c>
      <c r="AO257" s="125">
        <f t="shared" si="35"/>
        <v>37333.33333333328</v>
      </c>
      <c r="AP257" s="125">
        <f>AI257*Valores!$C$72</f>
        <v>-40113.68889</v>
      </c>
      <c r="AQ257" s="125">
        <f>IF(AI257&lt;Valores!$E$73,-0.02,IF(AI257&lt;Valores!$F$73,-0.03,-0.04))*AI257</f>
        <v>-7293.39798</v>
      </c>
      <c r="AR257" s="125">
        <f>AI257*Valores!$C$75</f>
        <v>-20056.844445</v>
      </c>
      <c r="AS257" s="125">
        <f>Valores!$C$102</f>
        <v>-1270.16</v>
      </c>
      <c r="AT257" s="125">
        <f>IF($F$5=0,Valores!$C$103,(Valores!$C$103+$F$5*(Valores!$C$103)))</f>
        <v>-11714</v>
      </c>
      <c r="AU257" s="125">
        <f t="shared" si="38"/>
        <v>321555.14101833326</v>
      </c>
      <c r="AV257" s="125">
        <f t="shared" si="32"/>
        <v>-40113.68889</v>
      </c>
      <c r="AW257" s="125">
        <f t="shared" si="39"/>
        <v>-7293.39798</v>
      </c>
      <c r="AX257" s="125">
        <f>AI257*Valores!$C$76</f>
        <v>-9846.087273</v>
      </c>
      <c r="AY257" s="125">
        <f>AI257*Valores!$C$77</f>
        <v>-1094.009697</v>
      </c>
      <c r="AZ257" s="125">
        <f t="shared" si="36"/>
        <v>343656.0484933332</v>
      </c>
      <c r="BA257" s="125">
        <f>AI257*Valores!$C$79</f>
        <v>58347.18384</v>
      </c>
      <c r="BB257" s="125">
        <f>AI257*Valores!$C$80</f>
        <v>25526.89293</v>
      </c>
      <c r="BC257" s="125">
        <f>AI257*Valores!$C$81</f>
        <v>3646.69899</v>
      </c>
      <c r="BD257" s="125">
        <f>AI257*Valores!$C$83</f>
        <v>12763.446465</v>
      </c>
      <c r="BE257" s="125">
        <f>AI257*Valores!$C$85</f>
        <v>19692.174546</v>
      </c>
      <c r="BF257" s="125">
        <f>AI257*Valores!$C$84</f>
        <v>2188.019394</v>
      </c>
      <c r="BG257" s="126"/>
      <c r="BH257" s="126">
        <f t="shared" si="43"/>
        <v>16</v>
      </c>
      <c r="BI257" s="123" t="s">
        <v>4</v>
      </c>
    </row>
    <row r="258" spans="1:61" s="110" customFormat="1" ht="11.25" customHeight="1">
      <c r="A258" s="123" t="s">
        <v>466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42"/>
        <v>1264</v>
      </c>
      <c r="F258" s="125">
        <f>ROUND(E258*Valores!$C$2,2)</f>
        <v>104633.92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35604.6</v>
      </c>
      <c r="N258" s="125">
        <f t="shared" si="33"/>
        <v>0</v>
      </c>
      <c r="O258" s="125">
        <f>Valores!$C$7*B258</f>
        <v>44914.4</v>
      </c>
      <c r="P258" s="125">
        <f>ROUND(IF(B258&lt;15,(Valores!$E$5*B258),Valores!$D$5),2)</f>
        <v>42317.14</v>
      </c>
      <c r="Q258" s="125">
        <v>0</v>
      </c>
      <c r="R258" s="125">
        <f>IF($F$4="NO",IF(Valores!$C$50*B258&gt;Valores!$F$47,Valores!$F$47,Valores!$C$50*B258),IF(Valores!$C$50*B258&gt;Valores!$F$47,Valores!$F$47,Valores!$C$50*B258)/2)</f>
        <v>23658.4</v>
      </c>
      <c r="S258" s="125">
        <f>Valores!$C$18*B258</f>
        <v>14126.08</v>
      </c>
      <c r="T258" s="125">
        <f t="shared" si="40"/>
        <v>14126.08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IF(Valores!$C$99*B258&gt;Valores!$C$98,Valores!$C$98,Valores!$C$99*B258)</f>
        <v>43124.32</v>
      </c>
      <c r="AA258" s="125">
        <f>IF((Valores!$C$28)*B258&gt;Valores!$F$28,Valores!$F$28,(Valores!$C$28)*B258)</f>
        <v>1109.76</v>
      </c>
      <c r="AB258" s="214">
        <v>0</v>
      </c>
      <c r="AC258" s="125">
        <f t="shared" si="34"/>
        <v>0</v>
      </c>
      <c r="AD258" s="125">
        <f>IF(Valores!$C$29*B258&gt;Valores!$F$29,Valores!$F$29,Valores!$C$29*B258)</f>
        <v>924.16</v>
      </c>
      <c r="AE258" s="192">
        <v>94</v>
      </c>
      <c r="AF258" s="125">
        <f>ROUND(AE258*Valores!$C$2,2)</f>
        <v>7781.32</v>
      </c>
      <c r="AG258" s="125">
        <f>IF($F$4="NO",IF(Valores!$D$64*'Escala Docente'!B258&gt;Valores!$F$64,Valores!$F$64,Valores!$D$64*'Escala Docente'!B258),IF(Valores!$D$64*'Escala Docente'!B258&gt;Valores!$F$64,Valores!$F$64,Valores!$D$64*'Escala Docente'!B258)/2)+0.03</f>
        <v>21105.309999999998</v>
      </c>
      <c r="AH258" s="125">
        <f>SUM(F258,H258,J258,L258,M258,N258,O258,P258,Q258,R258,T258,U258,V258,X258,Y258,Z258,AA258,AC258,AD258,AF258,AG258)*Valores!$C$104</f>
        <v>33929.941</v>
      </c>
      <c r="AI258" s="125">
        <f t="shared" si="37"/>
        <v>373229.35099999997</v>
      </c>
      <c r="AJ258" s="125">
        <f>IF(Valores!$C$33*B258&gt;Valores!$F$33,Valores!$F$33,Valores!$C$33*B258)</f>
        <v>37333.33333333328</v>
      </c>
      <c r="AK258" s="125">
        <v>0</v>
      </c>
      <c r="AL258" s="125">
        <f>IF(Valores!$C$92*B258&gt;Valores!$C$91,Valores!$C$91,Valores!$C$92*B258)</f>
        <v>0</v>
      </c>
      <c r="AM258" s="125">
        <f>IF(Valores!C$40*B258&gt;Valores!F$39,Valores!F$39,Valores!C$40*B258)</f>
        <v>0</v>
      </c>
      <c r="AN258" s="125">
        <f>IF($F$3="NO",0,IF(Valores!$C$63*B258&gt;Valores!$F$63,Valores!$F$63,Valores!$C$63*B258))</f>
        <v>0</v>
      </c>
      <c r="AO258" s="125">
        <f t="shared" si="35"/>
        <v>37333.33333333328</v>
      </c>
      <c r="AP258" s="125">
        <f>AI258*Valores!$C$72</f>
        <v>-41055.22861</v>
      </c>
      <c r="AQ258" s="125">
        <f>IF(AI258&lt;Valores!$E$73,-0.02,IF(AI258&lt;Valores!$F$73,-0.03,-0.04))*AI258</f>
        <v>-7464.587019999999</v>
      </c>
      <c r="AR258" s="125">
        <f>AI258*Valores!$C$75</f>
        <v>-20527.614305</v>
      </c>
      <c r="AS258" s="125">
        <f>Valores!$C$102</f>
        <v>-1270.16</v>
      </c>
      <c r="AT258" s="125">
        <f>IF($F$5=0,Valores!$C$103,(Valores!$C$103+$F$5*(Valores!$C$103)))</f>
        <v>-11714</v>
      </c>
      <c r="AU258" s="125">
        <f t="shared" si="38"/>
        <v>328531.0943983332</v>
      </c>
      <c r="AV258" s="125">
        <f t="shared" si="32"/>
        <v>-41055.22861</v>
      </c>
      <c r="AW258" s="125">
        <f t="shared" si="39"/>
        <v>-7464.587019999999</v>
      </c>
      <c r="AX258" s="125">
        <f>AI258*Valores!$C$76</f>
        <v>-10077.192476999999</v>
      </c>
      <c r="AY258" s="125">
        <f>AI258*Valores!$C$77</f>
        <v>-1119.6880529999999</v>
      </c>
      <c r="AZ258" s="125">
        <f t="shared" si="36"/>
        <v>350845.98817333323</v>
      </c>
      <c r="BA258" s="125">
        <f>AI258*Valores!$C$79</f>
        <v>59716.69615999999</v>
      </c>
      <c r="BB258" s="125">
        <f>AI258*Valores!$C$80</f>
        <v>26126.05457</v>
      </c>
      <c r="BC258" s="125">
        <f>AI258*Valores!$C$81</f>
        <v>3732.2935099999995</v>
      </c>
      <c r="BD258" s="125">
        <f>AI258*Valores!$C$83</f>
        <v>13063.027285</v>
      </c>
      <c r="BE258" s="125">
        <f>AI258*Valores!$C$85</f>
        <v>20154.384953999997</v>
      </c>
      <c r="BF258" s="125">
        <f>AI258*Valores!$C$84</f>
        <v>2239.3761059999997</v>
      </c>
      <c r="BG258" s="126"/>
      <c r="BH258" s="126">
        <f t="shared" si="43"/>
        <v>16</v>
      </c>
      <c r="BI258" s="123" t="s">
        <v>4</v>
      </c>
    </row>
    <row r="259" spans="1:61" s="110" customFormat="1" ht="11.25" customHeight="1">
      <c r="A259" s="123" t="s">
        <v>466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4" ref="E259:E290">79*B259</f>
        <v>1343</v>
      </c>
      <c r="F259" s="125">
        <f>ROUND(E259*Valores!$C$2,2)</f>
        <v>111173.54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37829.89</v>
      </c>
      <c r="N259" s="125">
        <f t="shared" si="33"/>
        <v>0</v>
      </c>
      <c r="O259" s="125">
        <f>Valores!$C$7*B259</f>
        <v>47721.55</v>
      </c>
      <c r="P259" s="125">
        <f>ROUND(IF(B259&lt;15,(Valores!$E$5*B259),Valores!$D$5),2)</f>
        <v>42317.14</v>
      </c>
      <c r="Q259" s="125">
        <v>0</v>
      </c>
      <c r="R259" s="125">
        <f>IF($F$4="NO",IF(Valores!$C$50*B259&gt;Valores!$F$47,Valores!$F$47,Valores!$C$50*B259),IF(Valores!$C$50*B259&gt;Valores!$F$47,Valores!$F$47,Valores!$C$50*B259)/2)</f>
        <v>25137.050000000003</v>
      </c>
      <c r="S259" s="125">
        <f>Valores!$C$18*B259</f>
        <v>15008.96</v>
      </c>
      <c r="T259" s="125">
        <f t="shared" si="40"/>
        <v>15008.96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IF(Valores!$C$99*B259&gt;Valores!$C$98,Valores!$C$98,Valores!$C$99*B259)</f>
        <v>45819.59</v>
      </c>
      <c r="AA259" s="125">
        <f>IF((Valores!$C$28)*B259&gt;Valores!$F$28,Valores!$F$28,(Valores!$C$28)*B259)</f>
        <v>1179.12</v>
      </c>
      <c r="AB259" s="214">
        <v>0</v>
      </c>
      <c r="AC259" s="125">
        <f t="shared" si="34"/>
        <v>0</v>
      </c>
      <c r="AD259" s="125">
        <f>IF(Valores!$C$29*B259&gt;Valores!$F$29,Valores!$F$29,Valores!$C$29*B259)</f>
        <v>981.92</v>
      </c>
      <c r="AE259" s="192">
        <v>0</v>
      </c>
      <c r="AF259" s="125">
        <f>ROUND(AE259*Valores!$C$2,2)</f>
        <v>0</v>
      </c>
      <c r="AG259" s="125">
        <f>IF($F$4="NO",IF(Valores!$D$64*'Escala Docente'!B259&gt;Valores!$F$64,Valores!$F$64,Valores!$D$64*'Escala Docente'!B259),IF(Valores!$D$64*'Escala Docente'!B259&gt;Valores!$F$64,Valores!$F$64,Valores!$D$64*'Escala Docente'!B259)/2)+0.03</f>
        <v>22424.39</v>
      </c>
      <c r="AH259" s="125">
        <f>SUM(F259,H259,J259,L259,M259,N259,O259,P259,Q259,R259,T259,U259,V259,X259,Y259,Z259,AA259,AC259,AD259,AF259,AG259)*Valores!$C$104</f>
        <v>34959.314999999995</v>
      </c>
      <c r="AI259" s="125">
        <f t="shared" si="37"/>
        <v>384552.46499999997</v>
      </c>
      <c r="AJ259" s="125">
        <f>IF(Valores!$C$33*B259&gt;Valores!$F$33,Valores!$F$33,Valores!$C$33*B259)</f>
        <v>39666.666666666606</v>
      </c>
      <c r="AK259" s="125">
        <v>0</v>
      </c>
      <c r="AL259" s="125">
        <f>IF(Valores!$C$92*B259&gt;Valores!$C$91,Valores!$C$91,Valores!$C$92*B259)</f>
        <v>0</v>
      </c>
      <c r="AM259" s="125">
        <f>IF(Valores!C$40*B259&gt;Valores!F$39,Valores!F$39,Valores!C$40*B259)</f>
        <v>0</v>
      </c>
      <c r="AN259" s="125">
        <f>IF($F$3="NO",0,IF(Valores!$C$63*B259&gt;Valores!$F$63,Valores!$F$63,Valores!$C$63*B259))</f>
        <v>0</v>
      </c>
      <c r="AO259" s="125">
        <f t="shared" si="35"/>
        <v>39666.666666666606</v>
      </c>
      <c r="AP259" s="125">
        <f>AI259*Valores!$C$72</f>
        <v>-42300.77114999999</v>
      </c>
      <c r="AQ259" s="125">
        <f>IF(AI259&lt;Valores!$E$73,-0.02,IF(AI259&lt;Valores!$F$73,-0.03,-0.04))*AI259</f>
        <v>-7691.0493</v>
      </c>
      <c r="AR259" s="125">
        <f>AI259*Valores!$C$75</f>
        <v>-21150.385574999997</v>
      </c>
      <c r="AS259" s="125">
        <f>Valores!$C$102</f>
        <v>-1270.16</v>
      </c>
      <c r="AT259" s="125">
        <f>IF($F$5=0,Valores!$C$103,(Valores!$C$103+$F$5*(Valores!$C$103)))</f>
        <v>-11714</v>
      </c>
      <c r="AU259" s="125">
        <f t="shared" si="38"/>
        <v>340092.7656416666</v>
      </c>
      <c r="AV259" s="125">
        <f t="shared" si="32"/>
        <v>-42300.77114999999</v>
      </c>
      <c r="AW259" s="125">
        <f t="shared" si="39"/>
        <v>-7691.0493</v>
      </c>
      <c r="AX259" s="125">
        <f>AI259*Valores!$C$76</f>
        <v>-10382.916555</v>
      </c>
      <c r="AY259" s="125">
        <f>AI259*Valores!$C$77</f>
        <v>-1153.657395</v>
      </c>
      <c r="AZ259" s="125">
        <f t="shared" si="36"/>
        <v>362690.7372666666</v>
      </c>
      <c r="BA259" s="125">
        <f>AI259*Valores!$C$79</f>
        <v>61528.3944</v>
      </c>
      <c r="BB259" s="125">
        <f>AI259*Valores!$C$80</f>
        <v>26918.67255</v>
      </c>
      <c r="BC259" s="125">
        <f>AI259*Valores!$C$81</f>
        <v>3845.52465</v>
      </c>
      <c r="BD259" s="125">
        <f>AI259*Valores!$C$83</f>
        <v>13459.336275</v>
      </c>
      <c r="BE259" s="125">
        <f>AI259*Valores!$C$85</f>
        <v>20765.83311</v>
      </c>
      <c r="BF259" s="125">
        <f>AI259*Valores!$C$84</f>
        <v>2307.31479</v>
      </c>
      <c r="BG259" s="126"/>
      <c r="BH259" s="126">
        <f t="shared" si="43"/>
        <v>17</v>
      </c>
      <c r="BI259" s="123" t="s">
        <v>4</v>
      </c>
    </row>
    <row r="260" spans="1:61" s="110" customFormat="1" ht="11.25" customHeight="1">
      <c r="A260" s="123" t="s">
        <v>466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4"/>
        <v>1343</v>
      </c>
      <c r="F260" s="125">
        <f>ROUND(E260*Valores!$C$2,2)</f>
        <v>111173.54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37829.89</v>
      </c>
      <c r="N260" s="125">
        <f t="shared" si="33"/>
        <v>0</v>
      </c>
      <c r="O260" s="125">
        <f>Valores!$C$7*B260</f>
        <v>47721.55</v>
      </c>
      <c r="P260" s="125">
        <f>ROUND(IF(B260&lt;15,(Valores!$E$5*B260),Valores!$D$5),2)</f>
        <v>42317.14</v>
      </c>
      <c r="Q260" s="125">
        <v>0</v>
      </c>
      <c r="R260" s="125">
        <f>IF($F$4="NO",IF(Valores!$C$50*B260&gt;Valores!$F$47,Valores!$F$47,Valores!$C$50*B260),IF(Valores!$C$50*B260&gt;Valores!$F$47,Valores!$F$47,Valores!$C$50*B260)/2)</f>
        <v>25137.050000000003</v>
      </c>
      <c r="S260" s="125">
        <f>Valores!$C$18*B260</f>
        <v>15008.96</v>
      </c>
      <c r="T260" s="125">
        <f t="shared" si="40"/>
        <v>15008.96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IF(Valores!$C$99*B260&gt;Valores!$C$98,Valores!$C$98,Valores!$C$99*B260)</f>
        <v>45819.59</v>
      </c>
      <c r="AA260" s="125">
        <f>IF((Valores!$C$28)*B260&gt;Valores!$F$28,Valores!$F$28,(Valores!$C$28)*B260)</f>
        <v>1179.12</v>
      </c>
      <c r="AB260" s="214">
        <v>0</v>
      </c>
      <c r="AC260" s="125">
        <f t="shared" si="34"/>
        <v>0</v>
      </c>
      <c r="AD260" s="125">
        <f>IF(Valores!$C$29*B260&gt;Valores!$F$29,Valores!$F$29,Valores!$C$29*B260)</f>
        <v>981.92</v>
      </c>
      <c r="AE260" s="192">
        <v>94</v>
      </c>
      <c r="AF260" s="125">
        <f>ROUND(AE260*Valores!$C$2,2)</f>
        <v>7781.32</v>
      </c>
      <c r="AG260" s="125">
        <f>IF($F$4="NO",IF(Valores!$D$64*'Escala Docente'!B260&gt;Valores!$F$64,Valores!$F$64,Valores!$D$64*'Escala Docente'!B260),IF(Valores!$D$64*'Escala Docente'!B260&gt;Valores!$F$64,Valores!$F$64,Valores!$D$64*'Escala Docente'!B260)/2)+0.03</f>
        <v>22424.39</v>
      </c>
      <c r="AH260" s="125">
        <f>SUM(F260,H260,J260,L260,M260,N260,O260,P260,Q260,R260,T260,U260,V260,X260,Y260,Z260,AA260,AC260,AD260,AF260,AG260)*Valores!$C$104</f>
        <v>35737.447</v>
      </c>
      <c r="AI260" s="125">
        <f t="shared" si="37"/>
        <v>393111.91699999996</v>
      </c>
      <c r="AJ260" s="125">
        <f>IF(Valores!$C$33*B260&gt;Valores!$F$33,Valores!$F$33,Valores!$C$33*B260)</f>
        <v>39666.666666666606</v>
      </c>
      <c r="AK260" s="125">
        <v>0</v>
      </c>
      <c r="AL260" s="125">
        <f>IF(Valores!$C$92*B260&gt;Valores!$C$91,Valores!$C$91,Valores!$C$92*B260)</f>
        <v>0</v>
      </c>
      <c r="AM260" s="125">
        <f>IF(Valores!C$40*B260&gt;Valores!F$39,Valores!F$39,Valores!C$40*B260)</f>
        <v>0</v>
      </c>
      <c r="AN260" s="125">
        <f>IF($F$3="NO",0,IF(Valores!$C$63*B260&gt;Valores!$F$63,Valores!$F$63,Valores!$C$63*B260))</f>
        <v>0</v>
      </c>
      <c r="AO260" s="125">
        <f t="shared" si="35"/>
        <v>39666.666666666606</v>
      </c>
      <c r="AP260" s="125">
        <f>AI260*Valores!$C$72</f>
        <v>-43242.310869999994</v>
      </c>
      <c r="AQ260" s="125">
        <f>IF(AI260&lt;Valores!$E$73,-0.02,IF(AI260&lt;Valores!$F$73,-0.03,-0.04))*AI260</f>
        <v>-7862.238339999999</v>
      </c>
      <c r="AR260" s="125">
        <f>AI260*Valores!$C$75</f>
        <v>-21621.155434999997</v>
      </c>
      <c r="AS260" s="125">
        <f>Valores!$C$102</f>
        <v>-1270.16</v>
      </c>
      <c r="AT260" s="125">
        <f>IF($F$5=0,Valores!$C$103,(Valores!$C$103+$F$5*(Valores!$C$103)))</f>
        <v>-11714</v>
      </c>
      <c r="AU260" s="125">
        <f t="shared" si="38"/>
        <v>347068.71902166656</v>
      </c>
      <c r="AV260" s="125">
        <f t="shared" si="32"/>
        <v>-43242.310869999994</v>
      </c>
      <c r="AW260" s="125">
        <f t="shared" si="39"/>
        <v>-7862.238339999999</v>
      </c>
      <c r="AX260" s="125">
        <f>AI260*Valores!$C$76</f>
        <v>-10614.021759</v>
      </c>
      <c r="AY260" s="125">
        <f>AI260*Valores!$C$77</f>
        <v>-1179.3357509999998</v>
      </c>
      <c r="AZ260" s="125">
        <f t="shared" si="36"/>
        <v>369880.6769466666</v>
      </c>
      <c r="BA260" s="125">
        <f>AI260*Valores!$C$79</f>
        <v>62897.90671999999</v>
      </c>
      <c r="BB260" s="125">
        <f>AI260*Valores!$C$80</f>
        <v>27517.83419</v>
      </c>
      <c r="BC260" s="125">
        <f>AI260*Valores!$C$81</f>
        <v>3931.1191699999995</v>
      </c>
      <c r="BD260" s="125">
        <f>AI260*Valores!$C$83</f>
        <v>13758.917095</v>
      </c>
      <c r="BE260" s="125">
        <f>AI260*Valores!$C$85</f>
        <v>21228.043518</v>
      </c>
      <c r="BF260" s="125">
        <f>AI260*Valores!$C$84</f>
        <v>2358.6715019999997</v>
      </c>
      <c r="BG260" s="126"/>
      <c r="BH260" s="126">
        <f t="shared" si="43"/>
        <v>17</v>
      </c>
      <c r="BI260" s="123" t="s">
        <v>4</v>
      </c>
    </row>
    <row r="261" spans="1:61" s="110" customFormat="1" ht="11.25" customHeight="1">
      <c r="A261" s="123" t="s">
        <v>466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4"/>
        <v>1422</v>
      </c>
      <c r="F261" s="125">
        <f>ROUND(E261*Valores!$C$2,2)</f>
        <v>117713.16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40055.18</v>
      </c>
      <c r="N261" s="125">
        <f t="shared" si="33"/>
        <v>0</v>
      </c>
      <c r="O261" s="125">
        <f>Valores!$C$7*B261</f>
        <v>50528.700000000004</v>
      </c>
      <c r="P261" s="125">
        <f>ROUND(IF(B261&lt;15,(Valores!$E$5*B261),Valores!$D$5),2)</f>
        <v>42317.14</v>
      </c>
      <c r="Q261" s="125">
        <v>0</v>
      </c>
      <c r="R261" s="125">
        <f>IF($F$4="NO",IF(Valores!$C$50*B261&gt;Valores!$F$47,Valores!$F$47,Valores!$C$50*B261),IF(Valores!$C$50*B261&gt;Valores!$F$47,Valores!$F$47,Valores!$C$50*B261)/2)</f>
        <v>26615.7</v>
      </c>
      <c r="S261" s="125">
        <f>Valores!$C$18*B261</f>
        <v>15891.84</v>
      </c>
      <c r="T261" s="125">
        <f t="shared" si="40"/>
        <v>15891.84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IF(Valores!$C$99*B261&gt;Valores!$C$98,Valores!$C$98,Valores!$C$99*B261)</f>
        <v>48514.86</v>
      </c>
      <c r="AA261" s="125">
        <f>IF((Valores!$C$28)*B261&gt;Valores!$F$28,Valores!$F$28,(Valores!$C$28)*B261)</f>
        <v>1248.48</v>
      </c>
      <c r="AB261" s="214">
        <v>0</v>
      </c>
      <c r="AC261" s="125">
        <f t="shared" si="34"/>
        <v>0</v>
      </c>
      <c r="AD261" s="125">
        <f>IF(Valores!$C$29*B261&gt;Valores!$F$29,Valores!$F$29,Valores!$C$29*B261)</f>
        <v>1039.68</v>
      </c>
      <c r="AE261" s="192">
        <v>0</v>
      </c>
      <c r="AF261" s="125">
        <f>ROUND(AE261*Valores!$C$2,2)</f>
        <v>0</v>
      </c>
      <c r="AG261" s="125">
        <f>IF($F$4="NO",IF(Valores!$D$64*'Escala Docente'!B261&gt;Valores!$F$64,Valores!$F$64,Valores!$D$64*'Escala Docente'!B261),IF(Valores!$D$64*'Escala Docente'!B261&gt;Valores!$F$64,Valores!$F$64,Valores!$D$64*'Escala Docente'!B261)/2)+0.04</f>
        <v>23743.48</v>
      </c>
      <c r="AH261" s="125">
        <f>SUM(F261,H261,J261,L261,M261,N261,O261,P261,Q261,R261,T261,U261,V261,X261,Y261,Z261,AA261,AC261,AD261,AF261,AG261)*Valores!$C$104</f>
        <v>36766.822</v>
      </c>
      <c r="AI261" s="125">
        <f t="shared" si="37"/>
        <v>404435.04199999996</v>
      </c>
      <c r="AJ261" s="125">
        <f>IF(Valores!$C$33*B261&gt;Valores!$F$33,Valores!$F$33,Valores!$C$33*B261)</f>
        <v>41999.999999999935</v>
      </c>
      <c r="AK261" s="125">
        <v>0</v>
      </c>
      <c r="AL261" s="125">
        <f>IF(Valores!$C$92*B261&gt;Valores!$C$91,Valores!$C$91,Valores!$C$92*B261)</f>
        <v>0</v>
      </c>
      <c r="AM261" s="125">
        <f>IF(Valores!C$40*B261&gt;Valores!F$39,Valores!F$39,Valores!C$40*B261)</f>
        <v>0</v>
      </c>
      <c r="AN261" s="125">
        <f>IF($F$3="NO",0,IF(Valores!$C$63*B261&gt;Valores!$F$63,Valores!$F$63,Valores!$C$63*B261))</f>
        <v>0</v>
      </c>
      <c r="AO261" s="125">
        <f t="shared" si="35"/>
        <v>41999.999999999935</v>
      </c>
      <c r="AP261" s="125">
        <f>AI261*Valores!$C$72</f>
        <v>-44487.85462</v>
      </c>
      <c r="AQ261" s="125">
        <f>IF(AI261&lt;Valores!$E$73,-0.02,IF(AI261&lt;Valores!$F$73,-0.03,-0.04))*AI261</f>
        <v>-8088.7008399999995</v>
      </c>
      <c r="AR261" s="125">
        <f>AI261*Valores!$C$75</f>
        <v>-22243.92731</v>
      </c>
      <c r="AS261" s="125">
        <f>Valores!$C$102</f>
        <v>-1270.16</v>
      </c>
      <c r="AT261" s="125">
        <f>IF($F$5=0,Valores!$C$103,(Valores!$C$103+$F$5*(Valores!$C$103)))</f>
        <v>-11714</v>
      </c>
      <c r="AU261" s="125">
        <f t="shared" si="38"/>
        <v>358630.39922999986</v>
      </c>
      <c r="AV261" s="125">
        <f aca="true" t="shared" si="45" ref="AV261:AV325">AP261</f>
        <v>-44487.85462</v>
      </c>
      <c r="AW261" s="125">
        <f t="shared" si="39"/>
        <v>-8088.7008399999995</v>
      </c>
      <c r="AX261" s="125">
        <f>AI261*Valores!$C$76</f>
        <v>-10919.746133999999</v>
      </c>
      <c r="AY261" s="125">
        <f>AI261*Valores!$C$77</f>
        <v>-1213.305126</v>
      </c>
      <c r="AZ261" s="125">
        <f t="shared" si="36"/>
        <v>381725.4352799999</v>
      </c>
      <c r="BA261" s="125">
        <f>AI261*Valores!$C$79</f>
        <v>64709.606719999996</v>
      </c>
      <c r="BB261" s="125">
        <f>AI261*Valores!$C$80</f>
        <v>28310.45294</v>
      </c>
      <c r="BC261" s="125">
        <f>AI261*Valores!$C$81</f>
        <v>4044.3504199999998</v>
      </c>
      <c r="BD261" s="125">
        <f>AI261*Valores!$C$83</f>
        <v>14155.22647</v>
      </c>
      <c r="BE261" s="125">
        <f>AI261*Valores!$C$85</f>
        <v>21839.492267999998</v>
      </c>
      <c r="BF261" s="125">
        <f>AI261*Valores!$C$84</f>
        <v>2426.610252</v>
      </c>
      <c r="BG261" s="126"/>
      <c r="BH261" s="126">
        <f t="shared" si="43"/>
        <v>18</v>
      </c>
      <c r="BI261" s="123" t="s">
        <v>4</v>
      </c>
    </row>
    <row r="262" spans="1:61" s="110" customFormat="1" ht="11.25" customHeight="1">
      <c r="A262" s="123" t="s">
        <v>466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4"/>
        <v>1422</v>
      </c>
      <c r="F262" s="125">
        <f>ROUND(E262*Valores!$C$2,2)</f>
        <v>117713.16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40055.18</v>
      </c>
      <c r="N262" s="125">
        <f t="shared" si="33"/>
        <v>0</v>
      </c>
      <c r="O262" s="125">
        <f>Valores!$C$7*B262</f>
        <v>50528.700000000004</v>
      </c>
      <c r="P262" s="125">
        <f>ROUND(IF(B262&lt;15,(Valores!$E$5*B262),Valores!$D$5),2)</f>
        <v>42317.14</v>
      </c>
      <c r="Q262" s="125">
        <v>0</v>
      </c>
      <c r="R262" s="125">
        <f>IF($F$4="NO",IF(Valores!$C$50*B262&gt;Valores!$F$47,Valores!$F$47,Valores!$C$50*B262),IF(Valores!$C$50*B262&gt;Valores!$F$47,Valores!$F$47,Valores!$C$50*B262)/2)</f>
        <v>26615.7</v>
      </c>
      <c r="S262" s="125">
        <f>Valores!$C$18*B262</f>
        <v>15891.84</v>
      </c>
      <c r="T262" s="125">
        <f t="shared" si="40"/>
        <v>15891.84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IF(Valores!$C$99*B262&gt;Valores!$C$98,Valores!$C$98,Valores!$C$99*B262)</f>
        <v>48514.86</v>
      </c>
      <c r="AA262" s="125">
        <f>IF((Valores!$C$28)*B262&gt;Valores!$F$28,Valores!$F$28,(Valores!$C$28)*B262)</f>
        <v>1248.48</v>
      </c>
      <c r="AB262" s="214">
        <v>0</v>
      </c>
      <c r="AC262" s="125">
        <f t="shared" si="34"/>
        <v>0</v>
      </c>
      <c r="AD262" s="125">
        <f>IF(Valores!$C$29*B262&gt;Valores!$F$29,Valores!$F$29,Valores!$C$29*B262)</f>
        <v>1039.68</v>
      </c>
      <c r="AE262" s="192">
        <v>94</v>
      </c>
      <c r="AF262" s="125">
        <f>ROUND(AE262*Valores!$C$2,2)</f>
        <v>7781.32</v>
      </c>
      <c r="AG262" s="125">
        <f>IF($F$4="NO",IF(Valores!$D$64*'Escala Docente'!B262&gt;Valores!$F$64,Valores!$F$64,Valores!$D$64*'Escala Docente'!B262),IF(Valores!$D$64*'Escala Docente'!B262&gt;Valores!$F$64,Valores!$F$64,Valores!$D$64*'Escala Docente'!B262)/2)+0.04</f>
        <v>23743.48</v>
      </c>
      <c r="AH262" s="125">
        <f>SUM(F262,H262,J262,L262,M262,N262,O262,P262,Q262,R262,T262,U262,V262,X262,Y262,Z262,AA262,AC262,AD262,AF262,AG262)*Valores!$C$104</f>
        <v>37544.954</v>
      </c>
      <c r="AI262" s="125">
        <f t="shared" si="37"/>
        <v>412994.49399999995</v>
      </c>
      <c r="AJ262" s="125">
        <f>IF(Valores!$C$33*B262&gt;Valores!$F$33,Valores!$F$33,Valores!$C$33*B262)</f>
        <v>41999.999999999935</v>
      </c>
      <c r="AK262" s="125">
        <v>0</v>
      </c>
      <c r="AL262" s="125">
        <f>IF(Valores!$C$92*B262&gt;Valores!$C$91,Valores!$C$91,Valores!$C$92*B262)</f>
        <v>0</v>
      </c>
      <c r="AM262" s="125">
        <f>IF(Valores!C$40*B262&gt;Valores!F$39,Valores!F$39,Valores!C$40*B262)</f>
        <v>0</v>
      </c>
      <c r="AN262" s="125">
        <f>IF($F$3="NO",0,IF(Valores!$C$63*B262&gt;Valores!$F$63,Valores!$F$63,Valores!$C$63*B262))</f>
        <v>0</v>
      </c>
      <c r="AO262" s="125">
        <f t="shared" si="35"/>
        <v>41999.999999999935</v>
      </c>
      <c r="AP262" s="125">
        <f>AI262*Valores!$C$72</f>
        <v>-45429.39433999999</v>
      </c>
      <c r="AQ262" s="125">
        <f>IF(AI262&lt;Valores!$E$73,-0.02,IF(AI262&lt;Valores!$F$73,-0.03,-0.04))*AI262</f>
        <v>-8259.889879999999</v>
      </c>
      <c r="AR262" s="125">
        <f>AI262*Valores!$C$75</f>
        <v>-22714.697169999996</v>
      </c>
      <c r="AS262" s="125">
        <f>Valores!$C$102</f>
        <v>-1270.16</v>
      </c>
      <c r="AT262" s="125">
        <f>IF($F$5=0,Valores!$C$103,(Valores!$C$103+$F$5*(Valores!$C$103)))</f>
        <v>-11714</v>
      </c>
      <c r="AU262" s="125">
        <f t="shared" si="38"/>
        <v>365606.3526099999</v>
      </c>
      <c r="AV262" s="125">
        <f t="shared" si="45"/>
        <v>-45429.39433999999</v>
      </c>
      <c r="AW262" s="125">
        <f t="shared" si="39"/>
        <v>-8259.889879999999</v>
      </c>
      <c r="AX262" s="125">
        <f>AI262*Valores!$C$76</f>
        <v>-11150.851337999999</v>
      </c>
      <c r="AY262" s="125">
        <f>AI262*Valores!$C$77</f>
        <v>-1238.9834819999999</v>
      </c>
      <c r="AZ262" s="125">
        <f t="shared" si="36"/>
        <v>388915.3749599999</v>
      </c>
      <c r="BA262" s="125">
        <f>AI262*Valores!$C$79</f>
        <v>66079.11903999999</v>
      </c>
      <c r="BB262" s="125">
        <f>AI262*Valores!$C$80</f>
        <v>28909.614579999998</v>
      </c>
      <c r="BC262" s="125">
        <f>AI262*Valores!$C$81</f>
        <v>4129.944939999999</v>
      </c>
      <c r="BD262" s="125">
        <f>AI262*Valores!$C$83</f>
        <v>14454.807289999999</v>
      </c>
      <c r="BE262" s="125">
        <f>AI262*Valores!$C$85</f>
        <v>22301.702675999997</v>
      </c>
      <c r="BF262" s="125">
        <f>AI262*Valores!$C$84</f>
        <v>2477.9669639999997</v>
      </c>
      <c r="BG262" s="126"/>
      <c r="BH262" s="126">
        <f t="shared" si="43"/>
        <v>18</v>
      </c>
      <c r="BI262" s="123" t="s">
        <v>4</v>
      </c>
    </row>
    <row r="263" spans="1:61" s="110" customFormat="1" ht="11.25" customHeight="1">
      <c r="A263" s="123" t="s">
        <v>466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4"/>
        <v>1501</v>
      </c>
      <c r="F263" s="125">
        <f>ROUND(E263*Valores!$C$2,2)</f>
        <v>124252.78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42280.46</v>
      </c>
      <c r="N263" s="125">
        <f t="shared" si="33"/>
        <v>0</v>
      </c>
      <c r="O263" s="125">
        <f>Valores!$C$7*B263</f>
        <v>53335.85</v>
      </c>
      <c r="P263" s="125">
        <f>ROUND(IF(B263&lt;15,(Valores!$E$5*B263),Valores!$D$5),2)</f>
        <v>42317.14</v>
      </c>
      <c r="Q263" s="125">
        <v>0</v>
      </c>
      <c r="R263" s="125">
        <f>IF($F$4="NO",IF(Valores!$C$50*B263&gt;Valores!$F$47,Valores!$F$47,Valores!$C$50*B263),IF(Valores!$C$50*B263&gt;Valores!$F$47,Valores!$F$47,Valores!$C$50*B263)/2)</f>
        <v>28094.350000000002</v>
      </c>
      <c r="S263" s="125">
        <f>Valores!$C$18*B263</f>
        <v>16774.72</v>
      </c>
      <c r="T263" s="125">
        <f t="shared" si="40"/>
        <v>16774.72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IF(Valores!$C$99*B263&gt;Valores!$C$98,Valores!$C$98,Valores!$C$99*B263)</f>
        <v>51210.13</v>
      </c>
      <c r="AA263" s="125">
        <f>IF((Valores!$C$28)*B263&gt;Valores!$F$28,Valores!$F$28,(Valores!$C$28)*B263)</f>
        <v>1317.84</v>
      </c>
      <c r="AB263" s="214">
        <v>0</v>
      </c>
      <c r="AC263" s="125">
        <f t="shared" si="34"/>
        <v>0</v>
      </c>
      <c r="AD263" s="125">
        <f>IF(Valores!$C$29*B263&gt;Valores!$F$29,Valores!$F$29,Valores!$C$29*B263)</f>
        <v>1097.44</v>
      </c>
      <c r="AE263" s="192">
        <v>0</v>
      </c>
      <c r="AF263" s="125">
        <f>ROUND(AE263*Valores!$C$2,2)</f>
        <v>0</v>
      </c>
      <c r="AG263" s="125">
        <f>IF($F$4="NO",IF(Valores!$D$64*'Escala Docente'!B263&gt;Valores!$F$64,Valores!$F$64,Valores!$D$64*'Escala Docente'!B263),IF(Valores!$D$64*'Escala Docente'!B263&gt;Valores!$F$64,Valores!$F$64,Valores!$D$64*'Escala Docente'!B263)/2)+0.04</f>
        <v>25062.559999999998</v>
      </c>
      <c r="AH263" s="125">
        <f>SUM(F263,H263,J263,L263,M263,N263,O263,P263,Q263,R263,T263,U263,V263,X263,Y263,Z263,AA263,AC263,AD263,AF263,AG263)*Valores!$C$104</f>
        <v>38574.327</v>
      </c>
      <c r="AI263" s="125">
        <f t="shared" si="37"/>
        <v>424317.59699999995</v>
      </c>
      <c r="AJ263" s="125">
        <f>IF(Valores!$C$33*B263&gt;Valores!$F$33,Valores!$F$33,Valores!$C$33*B263)</f>
        <v>44333.33333333327</v>
      </c>
      <c r="AK263" s="125">
        <v>0</v>
      </c>
      <c r="AL263" s="125">
        <f>IF(Valores!$C$92*B263&gt;Valores!$C$91,Valores!$C$91,Valores!$C$92*B263)</f>
        <v>0</v>
      </c>
      <c r="AM263" s="125">
        <f>IF(Valores!C$40*B263&gt;Valores!F$39,Valores!F$39,Valores!C$40*B263)</f>
        <v>0</v>
      </c>
      <c r="AN263" s="125">
        <f>IF($F$3="NO",0,IF(Valores!$C$63*B263&gt;Valores!$F$63,Valores!$F$63,Valores!$C$63*B263))</f>
        <v>0</v>
      </c>
      <c r="AO263" s="125">
        <f t="shared" si="35"/>
        <v>44333.33333333327</v>
      </c>
      <c r="AP263" s="125">
        <f>AI263*Valores!$C$72</f>
        <v>-46674.93566999999</v>
      </c>
      <c r="AQ263" s="125">
        <f>IF(AI263&lt;Valores!$E$73,-0.02,IF(AI263&lt;Valores!$F$73,-0.03,-0.04))*AI263</f>
        <v>-8486.351939999999</v>
      </c>
      <c r="AR263" s="125">
        <f>AI263*Valores!$C$75</f>
        <v>-23337.467834999996</v>
      </c>
      <c r="AS263" s="125">
        <f>Valores!$C$102</f>
        <v>-1270.16</v>
      </c>
      <c r="AT263" s="125">
        <f>IF($F$5=0,Valores!$C$103,(Valores!$C$103+$F$5*(Valores!$C$103)))</f>
        <v>-11714</v>
      </c>
      <c r="AU263" s="125">
        <f t="shared" si="38"/>
        <v>377168.0148883332</v>
      </c>
      <c r="AV263" s="125">
        <f t="shared" si="45"/>
        <v>-46674.93566999999</v>
      </c>
      <c r="AW263" s="125">
        <f t="shared" si="39"/>
        <v>-8486.351939999999</v>
      </c>
      <c r="AX263" s="125">
        <f>AI263*Valores!$C$76</f>
        <v>-11456.575119</v>
      </c>
      <c r="AY263" s="125">
        <f>AI263*Valores!$C$77</f>
        <v>-1272.952791</v>
      </c>
      <c r="AZ263" s="125">
        <f t="shared" si="36"/>
        <v>400760.1148133332</v>
      </c>
      <c r="BA263" s="125">
        <f>AI263*Valores!$C$79</f>
        <v>67890.81551999999</v>
      </c>
      <c r="BB263" s="125">
        <f>AI263*Valores!$C$80</f>
        <v>29702.231789999998</v>
      </c>
      <c r="BC263" s="125">
        <f>AI263*Valores!$C$81</f>
        <v>4243.175969999999</v>
      </c>
      <c r="BD263" s="125">
        <f>AI263*Valores!$C$83</f>
        <v>14851.115894999999</v>
      </c>
      <c r="BE263" s="125">
        <f>AI263*Valores!$C$85</f>
        <v>22913.150238</v>
      </c>
      <c r="BF263" s="125">
        <f>AI263*Valores!$C$84</f>
        <v>2545.905582</v>
      </c>
      <c r="BG263" s="126"/>
      <c r="BH263" s="126">
        <f t="shared" si="43"/>
        <v>19</v>
      </c>
      <c r="BI263" s="123" t="s">
        <v>4</v>
      </c>
    </row>
    <row r="264" spans="1:61" s="110" customFormat="1" ht="11.25" customHeight="1">
      <c r="A264" s="123" t="s">
        <v>466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4"/>
        <v>1501</v>
      </c>
      <c r="F264" s="125">
        <f>ROUND(E264*Valores!$C$2,2)</f>
        <v>124252.78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42280.46</v>
      </c>
      <c r="N264" s="125">
        <f aca="true" t="shared" si="46" ref="N264:N326">ROUND(SUM(F264,H264,J264,L264,X264,R264)*$H$2,2)</f>
        <v>0</v>
      </c>
      <c r="O264" s="125">
        <f>Valores!$C$7*B264</f>
        <v>53335.85</v>
      </c>
      <c r="P264" s="125">
        <f>ROUND(IF(B264&lt;15,(Valores!$E$5*B264),Valores!$D$5),2)</f>
        <v>42317.14</v>
      </c>
      <c r="Q264" s="125">
        <v>0</v>
      </c>
      <c r="R264" s="125">
        <f>IF($F$4="NO",IF(Valores!$C$50*B264&gt;Valores!$F$47,Valores!$F$47,Valores!$C$50*B264),IF(Valores!$C$50*B264&gt;Valores!$F$47,Valores!$F$47,Valores!$C$50*B264)/2)</f>
        <v>28094.350000000002</v>
      </c>
      <c r="S264" s="125">
        <f>Valores!$C$18*B264</f>
        <v>16774.72</v>
      </c>
      <c r="T264" s="125">
        <f t="shared" si="40"/>
        <v>16774.72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IF(Valores!$C$99*B264&gt;Valores!$C$98,Valores!$C$98,Valores!$C$99*B264)</f>
        <v>51210.13</v>
      </c>
      <c r="AA264" s="125">
        <f>IF((Valores!$C$28)*B264&gt;Valores!$F$28,Valores!$F$28,(Valores!$C$28)*B264)</f>
        <v>1317.84</v>
      </c>
      <c r="AB264" s="214">
        <v>0</v>
      </c>
      <c r="AC264" s="125">
        <f aca="true" t="shared" si="47" ref="AC264:AC326">ROUND(SUM(F264,H264,J264,X264,R264)*AB264,2)</f>
        <v>0</v>
      </c>
      <c r="AD264" s="125">
        <f>IF(Valores!$C$29*B264&gt;Valores!$F$29,Valores!$F$29,Valores!$C$29*B264)</f>
        <v>1097.44</v>
      </c>
      <c r="AE264" s="192">
        <v>94</v>
      </c>
      <c r="AF264" s="125">
        <f>ROUND(AE264*Valores!$C$2,2)</f>
        <v>7781.32</v>
      </c>
      <c r="AG264" s="125">
        <f>IF($F$4="NO",IF(Valores!$D$64*'Escala Docente'!B264&gt;Valores!$F$64,Valores!$F$64,Valores!$D$64*'Escala Docente'!B264),IF(Valores!$D$64*'Escala Docente'!B264&gt;Valores!$F$64,Valores!$F$64,Valores!$D$64*'Escala Docente'!B264)/2)+0.04</f>
        <v>25062.559999999998</v>
      </c>
      <c r="AH264" s="125">
        <f>SUM(F264,H264,J264,L264,M264,N264,O264,P264,Q264,R264,T264,U264,V264,X264,Y264,Z264,AA264,AC264,AD264,AF264,AG264)*Valores!$C$104</f>
        <v>39352.459</v>
      </c>
      <c r="AI264" s="125">
        <f t="shared" si="37"/>
        <v>432877.049</v>
      </c>
      <c r="AJ264" s="125">
        <f>IF(Valores!$C$33*B264&gt;Valores!$F$33,Valores!$F$33,Valores!$C$33*B264)</f>
        <v>44333.33333333327</v>
      </c>
      <c r="AK264" s="125">
        <v>0</v>
      </c>
      <c r="AL264" s="125">
        <f>IF(Valores!$C$92*B264&gt;Valores!$C$91,Valores!$C$91,Valores!$C$92*B264)</f>
        <v>0</v>
      </c>
      <c r="AM264" s="125">
        <f>IF(Valores!C$40*B264&gt;Valores!F$39,Valores!F$39,Valores!C$40*B264)</f>
        <v>0</v>
      </c>
      <c r="AN264" s="125">
        <f>IF($F$3="NO",0,IF(Valores!$C$63*B264&gt;Valores!$F$63,Valores!$F$63,Valores!$C$63*B264))</f>
        <v>0</v>
      </c>
      <c r="AO264" s="125">
        <f aca="true" t="shared" si="48" ref="AO264:AO326">SUM(AJ264:AN264)</f>
        <v>44333.33333333327</v>
      </c>
      <c r="AP264" s="125">
        <f>AI264*Valores!$C$72</f>
        <v>-47616.47539</v>
      </c>
      <c r="AQ264" s="125">
        <f>IF(AI264&lt;Valores!$E$73,-0.02,IF(AI264&lt;Valores!$F$73,-0.03,-0.04))*AI264</f>
        <v>-8657.54098</v>
      </c>
      <c r="AR264" s="125">
        <f>AI264*Valores!$C$75</f>
        <v>-23808.237695</v>
      </c>
      <c r="AS264" s="125">
        <f>Valores!$C$102</f>
        <v>-1270.16</v>
      </c>
      <c r="AT264" s="125">
        <f>IF($F$5=0,Valores!$C$103,(Valores!$C$103+$F$5*(Valores!$C$103)))</f>
        <v>-11714</v>
      </c>
      <c r="AU264" s="125">
        <f t="shared" si="38"/>
        <v>384143.96826833324</v>
      </c>
      <c r="AV264" s="125">
        <f t="shared" si="45"/>
        <v>-47616.47539</v>
      </c>
      <c r="AW264" s="125">
        <f t="shared" si="39"/>
        <v>-8657.54098</v>
      </c>
      <c r="AX264" s="125">
        <f>AI264*Valores!$C$76</f>
        <v>-11687.680323</v>
      </c>
      <c r="AY264" s="125">
        <f>AI264*Valores!$C$77</f>
        <v>-1298.631147</v>
      </c>
      <c r="AZ264" s="125">
        <f aca="true" t="shared" si="49" ref="AZ264:AZ325">AI264+AO264+SUM(AV264:AY264)</f>
        <v>407950.0544933332</v>
      </c>
      <c r="BA264" s="125">
        <f>AI264*Valores!$C$79</f>
        <v>69260.32784</v>
      </c>
      <c r="BB264" s="125">
        <f>AI264*Valores!$C$80</f>
        <v>30301.393430000004</v>
      </c>
      <c r="BC264" s="125">
        <f>AI264*Valores!$C$81</f>
        <v>4328.77049</v>
      </c>
      <c r="BD264" s="125">
        <f>AI264*Valores!$C$83</f>
        <v>15150.696715000002</v>
      </c>
      <c r="BE264" s="125">
        <f>AI264*Valores!$C$85</f>
        <v>23375.360646</v>
      </c>
      <c r="BF264" s="125">
        <f>AI264*Valores!$C$84</f>
        <v>2597.262294</v>
      </c>
      <c r="BG264" s="126"/>
      <c r="BH264" s="126">
        <f t="shared" si="43"/>
        <v>19</v>
      </c>
      <c r="BI264" s="123" t="s">
        <v>4</v>
      </c>
    </row>
    <row r="265" spans="1:61" s="110" customFormat="1" ht="11.25" customHeight="1">
      <c r="A265" s="123" t="s">
        <v>466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4"/>
        <v>1580</v>
      </c>
      <c r="F265" s="125">
        <f>ROUND(E265*Valores!$C$2,2)</f>
        <v>130792.4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44505.75</v>
      </c>
      <c r="N265" s="125">
        <f t="shared" si="46"/>
        <v>0</v>
      </c>
      <c r="O265" s="125">
        <f>Valores!$C$7*B265</f>
        <v>56143</v>
      </c>
      <c r="P265" s="125">
        <f>ROUND(IF(B265&lt;15,(Valores!$E$5*B265),Valores!$D$5),2)</f>
        <v>42317.14</v>
      </c>
      <c r="Q265" s="125">
        <v>0</v>
      </c>
      <c r="R265" s="125">
        <f>IF($F$4="NO",IF(Valores!$C$50*B265&gt;Valores!$F$47,Valores!$F$47,Valores!$C$50*B265),IF(Valores!$C$50*B265&gt;Valores!$F$47,Valores!$F$47,Valores!$C$50*B265)/2)</f>
        <v>29573</v>
      </c>
      <c r="S265" s="125">
        <f>Valores!$C$18*B265</f>
        <v>17657.6</v>
      </c>
      <c r="T265" s="125">
        <f t="shared" si="40"/>
        <v>17657.6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IF(Valores!$C$99*B265&gt;Valores!$C$98,Valores!$C$98,Valores!$C$99*B265)</f>
        <v>53905.4</v>
      </c>
      <c r="AA265" s="125">
        <f>IF((Valores!$C$28)*B265&gt;Valores!$F$28,Valores!$F$28,(Valores!$C$28)*B265)</f>
        <v>1387.2</v>
      </c>
      <c r="AB265" s="214">
        <v>0</v>
      </c>
      <c r="AC265" s="125">
        <f t="shared" si="47"/>
        <v>0</v>
      </c>
      <c r="AD265" s="125">
        <f>IF(Valores!$C$29*B265&gt;Valores!$F$29,Valores!$F$29,Valores!$C$29*B265)</f>
        <v>1155.2</v>
      </c>
      <c r="AE265" s="192">
        <v>0</v>
      </c>
      <c r="AF265" s="125">
        <f>ROUND(AE265*Valores!$C$2,2)</f>
        <v>0</v>
      </c>
      <c r="AG265" s="125">
        <f>IF($F$4="NO",IF(Valores!$D$64*'Escala Docente'!B265&gt;Valores!$F$64,Valores!$F$64,Valores!$D$64*'Escala Docente'!B265),IF(Valores!$D$64*'Escala Docente'!B265&gt;Valores!$F$64,Valores!$F$64,Valores!$D$64*'Escala Docente'!B265)/2)+0.04</f>
        <v>26381.64</v>
      </c>
      <c r="AH265" s="125">
        <f>SUM(F265,H265,J265,L265,M265,N265,O265,P265,Q265,R265,T265,U265,V265,X265,Y265,Z265,AA265,AC265,AD265,AF265,AG265)*Valores!$C$104</f>
        <v>40381.833000000006</v>
      </c>
      <c r="AI265" s="125">
        <f aca="true" t="shared" si="50" ref="AI265:AI326">SUM(F265,H265,J265,L265,M265,N265,O265,P265,Q265,R265,T265,U265,V265,X265,Y265,Z265,AA265,AC265,AD265,AF265,AG265,AH265)</f>
        <v>444200.163</v>
      </c>
      <c r="AJ265" s="125">
        <f>IF(Valores!$C$33*B265&gt;Valores!$F$33,Valores!$F$33,Valores!$C$33*B265)</f>
        <v>46666.6666666666</v>
      </c>
      <c r="AK265" s="125">
        <v>0</v>
      </c>
      <c r="AL265" s="125">
        <f>IF(Valores!$C$92*B265&gt;Valores!$C$91,Valores!$C$91,Valores!$C$92*B265)</f>
        <v>0</v>
      </c>
      <c r="AM265" s="125">
        <f>IF(Valores!C$40*B265&gt;Valores!F$39,Valores!F$39,Valores!C$40*B265)</f>
        <v>0</v>
      </c>
      <c r="AN265" s="125">
        <f>IF($F$3="NO",0,IF(Valores!$C$63*B265&gt;Valores!$F$63,Valores!$F$63,Valores!$C$63*B265))</f>
        <v>0</v>
      </c>
      <c r="AO265" s="125">
        <f t="shared" si="48"/>
        <v>46666.6666666666</v>
      </c>
      <c r="AP265" s="125">
        <f>AI265*Valores!$C$72</f>
        <v>-48862.01793</v>
      </c>
      <c r="AQ265" s="125">
        <f>IF(AI265&lt;Valores!$E$73,-0.02,IF(AI265&lt;Valores!$F$73,-0.03,-0.04))*AI265</f>
        <v>-8884.00326</v>
      </c>
      <c r="AR265" s="125">
        <f>AI265*Valores!$C$75</f>
        <v>-24431.008965</v>
      </c>
      <c r="AS265" s="125">
        <f>Valores!$C$102</f>
        <v>-1270.16</v>
      </c>
      <c r="AT265" s="125">
        <f>IF($F$5=0,Valores!$C$103,(Valores!$C$103+$F$5*(Valores!$C$103)))</f>
        <v>-11714</v>
      </c>
      <c r="AU265" s="125">
        <f aca="true" t="shared" si="51" ref="AU265:AU326">AI265+SUM(AO265:AT265)</f>
        <v>395705.6395116666</v>
      </c>
      <c r="AV265" s="125">
        <f t="shared" si="45"/>
        <v>-48862.01793</v>
      </c>
      <c r="AW265" s="125">
        <f aca="true" t="shared" si="52" ref="AW265:AW326">AQ265</f>
        <v>-8884.00326</v>
      </c>
      <c r="AX265" s="125">
        <f>AI265*Valores!$C$76</f>
        <v>-11993.404401</v>
      </c>
      <c r="AY265" s="125">
        <f>AI265*Valores!$C$77</f>
        <v>-1332.600489</v>
      </c>
      <c r="AZ265" s="125">
        <f t="shared" si="49"/>
        <v>419794.8035866666</v>
      </c>
      <c r="BA265" s="125">
        <f>AI265*Valores!$C$79</f>
        <v>71072.02608</v>
      </c>
      <c r="BB265" s="125">
        <f>AI265*Valores!$C$80</f>
        <v>31094.011410000003</v>
      </c>
      <c r="BC265" s="125">
        <f>AI265*Valores!$C$81</f>
        <v>4442.00163</v>
      </c>
      <c r="BD265" s="125">
        <f>AI265*Valores!$C$83</f>
        <v>15547.005705000001</v>
      </c>
      <c r="BE265" s="125">
        <f>AI265*Valores!$C$85</f>
        <v>23986.808802</v>
      </c>
      <c r="BF265" s="125">
        <f>AI265*Valores!$C$84</f>
        <v>2665.200978</v>
      </c>
      <c r="BG265" s="126"/>
      <c r="BH265" s="126">
        <f t="shared" si="43"/>
        <v>20</v>
      </c>
      <c r="BI265" s="123" t="s">
        <v>4</v>
      </c>
    </row>
    <row r="266" spans="1:61" s="110" customFormat="1" ht="11.25" customHeight="1">
      <c r="A266" s="123" t="s">
        <v>466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4"/>
        <v>1580</v>
      </c>
      <c r="F266" s="125">
        <f>ROUND(E266*Valores!$C$2,2)</f>
        <v>130792.4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44505.75</v>
      </c>
      <c r="N266" s="125">
        <f t="shared" si="46"/>
        <v>0</v>
      </c>
      <c r="O266" s="125">
        <f>Valores!$C$7*B266</f>
        <v>56143</v>
      </c>
      <c r="P266" s="125">
        <f>ROUND(IF(B266&lt;15,(Valores!$E$5*B266),Valores!$D$5),2)</f>
        <v>42317.14</v>
      </c>
      <c r="Q266" s="125">
        <v>0</v>
      </c>
      <c r="R266" s="125">
        <f>IF($F$4="NO",IF(Valores!$C$50*B266&gt;Valores!$F$47,Valores!$F$47,Valores!$C$50*B266),IF(Valores!$C$50*B266&gt;Valores!$F$47,Valores!$F$47,Valores!$C$50*B266)/2)</f>
        <v>29573</v>
      </c>
      <c r="S266" s="125">
        <f>Valores!$C$18*B266</f>
        <v>17657.6</v>
      </c>
      <c r="T266" s="125">
        <f t="shared" si="40"/>
        <v>17657.6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IF(Valores!$C$99*B266&gt;Valores!$C$98,Valores!$C$98,Valores!$C$99*B266)</f>
        <v>53905.4</v>
      </c>
      <c r="AA266" s="125">
        <f>IF((Valores!$C$28)*B266&gt;Valores!$F$28,Valores!$F$28,(Valores!$C$28)*B266)</f>
        <v>1387.2</v>
      </c>
      <c r="AB266" s="214">
        <v>0</v>
      </c>
      <c r="AC266" s="125">
        <f t="shared" si="47"/>
        <v>0</v>
      </c>
      <c r="AD266" s="125">
        <f>IF(Valores!$C$29*B266&gt;Valores!$F$29,Valores!$F$29,Valores!$C$29*B266)</f>
        <v>1155.2</v>
      </c>
      <c r="AE266" s="192">
        <v>94</v>
      </c>
      <c r="AF266" s="125">
        <f>ROUND(AE266*Valores!$C$2,2)</f>
        <v>7781.32</v>
      </c>
      <c r="AG266" s="125">
        <f>IF($F$4="NO",IF(Valores!$D$64*'Escala Docente'!B266&gt;Valores!$F$64,Valores!$F$64,Valores!$D$64*'Escala Docente'!B266),IF(Valores!$D$64*'Escala Docente'!B266&gt;Valores!$F$64,Valores!$F$64,Valores!$D$64*'Escala Docente'!B266)/2)+0.04</f>
        <v>26381.64</v>
      </c>
      <c r="AH266" s="125">
        <f>SUM(F266,H266,J266,L266,M266,N266,O266,P266,Q266,R266,T266,U266,V266,X266,Y266,Z266,AA266,AC266,AD266,AF266,AG266)*Valores!$C$104</f>
        <v>41159.965000000004</v>
      </c>
      <c r="AI266" s="125">
        <f t="shared" si="50"/>
        <v>452759.61500000005</v>
      </c>
      <c r="AJ266" s="125">
        <f>IF(Valores!$C$33*B266&gt;Valores!$F$33,Valores!$F$33,Valores!$C$33*B266)</f>
        <v>46666.6666666666</v>
      </c>
      <c r="AK266" s="125">
        <v>0</v>
      </c>
      <c r="AL266" s="125">
        <f>IF(Valores!$C$92*B266&gt;Valores!$C$91,Valores!$C$91,Valores!$C$92*B266)</f>
        <v>0</v>
      </c>
      <c r="AM266" s="125">
        <f>IF(Valores!C$40*B266&gt;Valores!F$39,Valores!F$39,Valores!C$40*B266)</f>
        <v>0</v>
      </c>
      <c r="AN266" s="125">
        <f>IF($F$3="NO",0,IF(Valores!$C$63*B266&gt;Valores!$F$63,Valores!$F$63,Valores!$C$63*B266))</f>
        <v>0</v>
      </c>
      <c r="AO266" s="125">
        <f t="shared" si="48"/>
        <v>46666.6666666666</v>
      </c>
      <c r="AP266" s="125">
        <f>AI266*Valores!$C$72</f>
        <v>-49803.55765</v>
      </c>
      <c r="AQ266" s="125">
        <f>IF(AI266&lt;Valores!$E$73,-0.02,IF(AI266&lt;Valores!$F$73,-0.03,-0.04))*AI266</f>
        <v>-9055.1923</v>
      </c>
      <c r="AR266" s="125">
        <f>AI266*Valores!$C$75</f>
        <v>-24901.778825</v>
      </c>
      <c r="AS266" s="125">
        <f>Valores!$C$102</f>
        <v>-1270.16</v>
      </c>
      <c r="AT266" s="125">
        <f>IF($F$5=0,Valores!$C$103,(Valores!$C$103+$F$5*(Valores!$C$103)))</f>
        <v>-11714</v>
      </c>
      <c r="AU266" s="125">
        <f t="shared" si="51"/>
        <v>402681.59289166663</v>
      </c>
      <c r="AV266" s="125">
        <f t="shared" si="45"/>
        <v>-49803.55765</v>
      </c>
      <c r="AW266" s="125">
        <f t="shared" si="52"/>
        <v>-9055.1923</v>
      </c>
      <c r="AX266" s="125">
        <f>AI266*Valores!$C$76</f>
        <v>-12224.509605000001</v>
      </c>
      <c r="AY266" s="125">
        <f>AI266*Valores!$C$77</f>
        <v>-1358.2788450000003</v>
      </c>
      <c r="AZ266" s="125">
        <f t="shared" si="49"/>
        <v>426984.7432666666</v>
      </c>
      <c r="BA266" s="125">
        <f>AI266*Valores!$C$79</f>
        <v>72441.5384</v>
      </c>
      <c r="BB266" s="125">
        <f>AI266*Valores!$C$80</f>
        <v>31693.173050000005</v>
      </c>
      <c r="BC266" s="125">
        <f>AI266*Valores!$C$81</f>
        <v>4527.59615</v>
      </c>
      <c r="BD266" s="125">
        <f>AI266*Valores!$C$83</f>
        <v>15846.586525000002</v>
      </c>
      <c r="BE266" s="125">
        <f>AI266*Valores!$C$85</f>
        <v>24449.019210000002</v>
      </c>
      <c r="BF266" s="125">
        <f>AI266*Valores!$C$84</f>
        <v>2716.5576900000005</v>
      </c>
      <c r="BG266" s="126"/>
      <c r="BH266" s="126">
        <f t="shared" si="43"/>
        <v>20</v>
      </c>
      <c r="BI266" s="123" t="s">
        <v>4</v>
      </c>
    </row>
    <row r="267" spans="1:61" s="110" customFormat="1" ht="11.25" customHeight="1">
      <c r="A267" s="123" t="s">
        <v>466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4"/>
        <v>1659</v>
      </c>
      <c r="F267" s="125">
        <f>ROUND(E267*Valores!$C$2,2)</f>
        <v>137332.02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46731.04</v>
      </c>
      <c r="N267" s="125">
        <f t="shared" si="46"/>
        <v>0</v>
      </c>
      <c r="O267" s="125">
        <f>Valores!$C$7*B267</f>
        <v>58950.15</v>
      </c>
      <c r="P267" s="125">
        <f>ROUND(IF(B267&lt;15,(Valores!$E$5*B267),Valores!$D$5),2)</f>
        <v>42317.14</v>
      </c>
      <c r="Q267" s="125">
        <v>0</v>
      </c>
      <c r="R267" s="125">
        <f>IF($F$4="NO",IF(Valores!$C$50*B267&gt;Valores!$F$47,Valores!$F$47,Valores!$C$50*B267),IF(Valores!$C$50*B267&gt;Valores!$F$47,Valores!$F$47,Valores!$C$50*B267)/2)</f>
        <v>31051.65</v>
      </c>
      <c r="S267" s="125">
        <f>Valores!$C$18*B267</f>
        <v>18540.48</v>
      </c>
      <c r="T267" s="125">
        <f aca="true" t="shared" si="53" ref="T267:T299">ROUND(S267*(1+$H$2),2)</f>
        <v>18540.48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IF(Valores!$C$99*B267&gt;Valores!$C$98,Valores!$C$98,Valores!$C$99*B267)</f>
        <v>56600.67</v>
      </c>
      <c r="AA267" s="125">
        <f>IF((Valores!$C$28)*B267&gt;Valores!$F$28,Valores!$F$28,(Valores!$C$28)*B267)</f>
        <v>1456.56</v>
      </c>
      <c r="AB267" s="214">
        <v>0</v>
      </c>
      <c r="AC267" s="125">
        <f t="shared" si="47"/>
        <v>0</v>
      </c>
      <c r="AD267" s="125">
        <f>IF(Valores!$C$29*B267&gt;Valores!$F$29,Valores!$F$29,Valores!$C$29*B267)</f>
        <v>1212.96</v>
      </c>
      <c r="AE267" s="192">
        <v>0</v>
      </c>
      <c r="AF267" s="125">
        <f>ROUND(AE267*Valores!$C$2,2)</f>
        <v>0</v>
      </c>
      <c r="AG267" s="125">
        <f>IF($F$4="NO",IF(Valores!$D$64*'Escala Docente'!B267&gt;Valores!$F$64,Valores!$F$64,Valores!$D$64*'Escala Docente'!B267),IF(Valores!$D$64*'Escala Docente'!B267&gt;Valores!$F$64,Valores!$F$64,Valores!$D$64*'Escala Docente'!B267)/2)+0.05</f>
        <v>27700.73</v>
      </c>
      <c r="AH267" s="125">
        <f>SUM(F267,H267,J267,L267,M267,N267,O267,P267,Q267,R267,T267,U267,V267,X267,Y267,Z267,AA267,AC267,AD267,AF267,AG267)*Valores!$C$104</f>
        <v>42189.34</v>
      </c>
      <c r="AI267" s="125">
        <f t="shared" si="50"/>
        <v>464082.74</v>
      </c>
      <c r="AJ267" s="125">
        <f>IF(Valores!$C$33*B267&gt;Valores!$F$33,Valores!$F$33,Valores!$C$33*B267)</f>
        <v>48999.99999999993</v>
      </c>
      <c r="AK267" s="125">
        <v>0</v>
      </c>
      <c r="AL267" s="125">
        <f>IF(Valores!$C$92*B267&gt;Valores!$C$91,Valores!$C$91,Valores!$C$92*B267)</f>
        <v>0</v>
      </c>
      <c r="AM267" s="125">
        <f>IF(Valores!C$40*B267&gt;Valores!F$39,Valores!F$39,Valores!C$40*B267)</f>
        <v>0</v>
      </c>
      <c r="AN267" s="125">
        <f>IF($F$3="NO",0,IF(Valores!$C$63*B267&gt;Valores!$F$63,Valores!$F$63,Valores!$C$63*B267))</f>
        <v>0</v>
      </c>
      <c r="AO267" s="125">
        <f t="shared" si="48"/>
        <v>48999.99999999993</v>
      </c>
      <c r="AP267" s="125">
        <f>AI267*Valores!$C$72</f>
        <v>-51049.1014</v>
      </c>
      <c r="AQ267" s="125">
        <f>IF(AI267&lt;Valores!$E$73,-0.02,IF(AI267&lt;Valores!$F$73,-0.03,-0.04))*AI267</f>
        <v>-9281.6548</v>
      </c>
      <c r="AR267" s="125">
        <f>AI267*Valores!$C$75</f>
        <v>-25524.5507</v>
      </c>
      <c r="AS267" s="125">
        <f>Valores!$C$102</f>
        <v>-1270.16</v>
      </c>
      <c r="AT267" s="125">
        <f>IF($F$5=0,Valores!$C$103,(Valores!$C$103+$F$5*(Valores!$C$103)))</f>
        <v>-11714</v>
      </c>
      <c r="AU267" s="125">
        <f t="shared" si="51"/>
        <v>414243.27309999993</v>
      </c>
      <c r="AV267" s="125">
        <f t="shared" si="45"/>
        <v>-51049.1014</v>
      </c>
      <c r="AW267" s="125">
        <f t="shared" si="52"/>
        <v>-9281.6548</v>
      </c>
      <c r="AX267" s="125">
        <f>AI267*Valores!$C$76</f>
        <v>-12530.233979999999</v>
      </c>
      <c r="AY267" s="125">
        <f>AI267*Valores!$C$77</f>
        <v>-1392.24822</v>
      </c>
      <c r="AZ267" s="125">
        <f t="shared" si="49"/>
        <v>438829.50159999996</v>
      </c>
      <c r="BA267" s="125">
        <f>AI267*Valores!$C$79</f>
        <v>74253.2384</v>
      </c>
      <c r="BB267" s="125">
        <f>AI267*Valores!$C$80</f>
        <v>32485.791800000003</v>
      </c>
      <c r="BC267" s="125">
        <f>AI267*Valores!$C$81</f>
        <v>4640.8274</v>
      </c>
      <c r="BD267" s="125">
        <f>AI267*Valores!$C$83</f>
        <v>16242.895900000001</v>
      </c>
      <c r="BE267" s="125">
        <f>AI267*Valores!$C$85</f>
        <v>25060.467959999998</v>
      </c>
      <c r="BF267" s="125">
        <f>AI267*Valores!$C$84</f>
        <v>2784.49644</v>
      </c>
      <c r="BG267" s="126"/>
      <c r="BH267" s="126">
        <f t="shared" si="43"/>
        <v>21</v>
      </c>
      <c r="BI267" s="123" t="s">
        <v>4</v>
      </c>
    </row>
    <row r="268" spans="1:61" s="110" customFormat="1" ht="11.25" customHeight="1">
      <c r="A268" s="123" t="s">
        <v>466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4"/>
        <v>1659</v>
      </c>
      <c r="F268" s="125">
        <f>ROUND(E268*Valores!$C$2,2)</f>
        <v>137332.02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46731.04</v>
      </c>
      <c r="N268" s="125">
        <f t="shared" si="46"/>
        <v>0</v>
      </c>
      <c r="O268" s="125">
        <f>Valores!$C$7*B268</f>
        <v>58950.15</v>
      </c>
      <c r="P268" s="125">
        <f>ROUND(IF(B268&lt;15,(Valores!$E$5*B268),Valores!$D$5),2)</f>
        <v>42317.14</v>
      </c>
      <c r="Q268" s="125">
        <v>0</v>
      </c>
      <c r="R268" s="125">
        <f>IF($F$4="NO",IF(Valores!$C$50*B268&gt;Valores!$F$47,Valores!$F$47,Valores!$C$50*B268),IF(Valores!$C$50*B268&gt;Valores!$F$47,Valores!$F$47,Valores!$C$50*B268)/2)</f>
        <v>31051.65</v>
      </c>
      <c r="S268" s="125">
        <f>Valores!$C$18*B268</f>
        <v>18540.48</v>
      </c>
      <c r="T268" s="125">
        <f t="shared" si="53"/>
        <v>18540.48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IF(Valores!$C$99*B268&gt;Valores!$C$98,Valores!$C$98,Valores!$C$99*B268)</f>
        <v>56600.67</v>
      </c>
      <c r="AA268" s="125">
        <f>IF((Valores!$C$28)*B268&gt;Valores!$F$28,Valores!$F$28,(Valores!$C$28)*B268)</f>
        <v>1456.56</v>
      </c>
      <c r="AB268" s="214">
        <v>0</v>
      </c>
      <c r="AC268" s="125">
        <f t="shared" si="47"/>
        <v>0</v>
      </c>
      <c r="AD268" s="125">
        <f>IF(Valores!$C$29*B268&gt;Valores!$F$29,Valores!$F$29,Valores!$C$29*B268)</f>
        <v>1212.96</v>
      </c>
      <c r="AE268" s="192">
        <v>94</v>
      </c>
      <c r="AF268" s="125">
        <f>ROUND(AE268*Valores!$C$2,2)</f>
        <v>7781.32</v>
      </c>
      <c r="AG268" s="125">
        <f>IF($F$4="NO",IF(Valores!$D$64*'Escala Docente'!B268&gt;Valores!$F$64,Valores!$F$64,Valores!$D$64*'Escala Docente'!B268),IF(Valores!$D$64*'Escala Docente'!B268&gt;Valores!$F$64,Valores!$F$64,Valores!$D$64*'Escala Docente'!B268)/2)+0.05</f>
        <v>27700.73</v>
      </c>
      <c r="AH268" s="125">
        <f>SUM(F268,H268,J268,L268,M268,N268,O268,P268,Q268,R268,T268,U268,V268,X268,Y268,Z268,AA268,AC268,AD268,AF268,AG268)*Valores!$C$104</f>
        <v>42967.472</v>
      </c>
      <c r="AI268" s="125">
        <f t="shared" si="50"/>
        <v>472642.192</v>
      </c>
      <c r="AJ268" s="125">
        <f>IF(Valores!$C$33*B268&gt;Valores!$F$33,Valores!$F$33,Valores!$C$33*B268)</f>
        <v>48999.99999999993</v>
      </c>
      <c r="AK268" s="125">
        <v>0</v>
      </c>
      <c r="AL268" s="125">
        <f>IF(Valores!$C$92*B268&gt;Valores!$C$91,Valores!$C$91,Valores!$C$92*B268)</f>
        <v>0</v>
      </c>
      <c r="AM268" s="125">
        <f>IF(Valores!C$40*B268&gt;Valores!F$39,Valores!F$39,Valores!C$40*B268)</f>
        <v>0</v>
      </c>
      <c r="AN268" s="125">
        <f>IF($F$3="NO",0,IF(Valores!$C$63*B268&gt;Valores!$F$63,Valores!$F$63,Valores!$C$63*B268))</f>
        <v>0</v>
      </c>
      <c r="AO268" s="125">
        <f t="shared" si="48"/>
        <v>48999.99999999993</v>
      </c>
      <c r="AP268" s="125">
        <f>AI268*Valores!$C$72</f>
        <v>-51990.64112</v>
      </c>
      <c r="AQ268" s="125">
        <f>IF(AI268&lt;Valores!$E$73,-0.02,IF(AI268&lt;Valores!$F$73,-0.03,-0.04))*AI268</f>
        <v>-9452.84384</v>
      </c>
      <c r="AR268" s="125">
        <f>AI268*Valores!$C$75</f>
        <v>-25995.32056</v>
      </c>
      <c r="AS268" s="125">
        <f>Valores!$C$102</f>
        <v>-1270.16</v>
      </c>
      <c r="AT268" s="125">
        <f>IF($F$5=0,Valores!$C$103,(Valores!$C$103+$F$5*(Valores!$C$103)))</f>
        <v>-11714</v>
      </c>
      <c r="AU268" s="125">
        <f t="shared" si="51"/>
        <v>421219.2264799999</v>
      </c>
      <c r="AV268" s="125">
        <f t="shared" si="45"/>
        <v>-51990.64112</v>
      </c>
      <c r="AW268" s="125">
        <f t="shared" si="52"/>
        <v>-9452.84384</v>
      </c>
      <c r="AX268" s="125">
        <f>AI268*Valores!$C$76</f>
        <v>-12761.339183999999</v>
      </c>
      <c r="AY268" s="125">
        <f>AI268*Valores!$C$77</f>
        <v>-1417.926576</v>
      </c>
      <c r="AZ268" s="125">
        <f t="shared" si="49"/>
        <v>446019.4412799999</v>
      </c>
      <c r="BA268" s="125">
        <f>AI268*Valores!$C$79</f>
        <v>75622.75072</v>
      </c>
      <c r="BB268" s="125">
        <f>AI268*Valores!$C$80</f>
        <v>33084.953440000005</v>
      </c>
      <c r="BC268" s="125">
        <f>AI268*Valores!$C$81</f>
        <v>4726.42192</v>
      </c>
      <c r="BD268" s="125">
        <f>AI268*Valores!$C$83</f>
        <v>16542.476720000002</v>
      </c>
      <c r="BE268" s="125">
        <f>AI268*Valores!$C$85</f>
        <v>25522.678367999997</v>
      </c>
      <c r="BF268" s="125">
        <f>AI268*Valores!$C$84</f>
        <v>2835.853152</v>
      </c>
      <c r="BG268" s="126"/>
      <c r="BH268" s="126">
        <f t="shared" si="43"/>
        <v>21</v>
      </c>
      <c r="BI268" s="123" t="s">
        <v>4</v>
      </c>
    </row>
    <row r="269" spans="1:61" s="110" customFormat="1" ht="11.25" customHeight="1">
      <c r="A269" s="123" t="s">
        <v>466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4"/>
        <v>1738</v>
      </c>
      <c r="F269" s="125">
        <f>ROUND(E269*Valores!$C$2,2)</f>
        <v>143871.64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48956.33</v>
      </c>
      <c r="N269" s="125">
        <f t="shared" si="46"/>
        <v>0</v>
      </c>
      <c r="O269" s="125">
        <f>Valores!$C$7*B269</f>
        <v>61757.3</v>
      </c>
      <c r="P269" s="125">
        <f>ROUND(IF(B269&lt;15,(Valores!$E$5*B269),Valores!$D$5),2)</f>
        <v>42317.14</v>
      </c>
      <c r="Q269" s="125">
        <v>0</v>
      </c>
      <c r="R269" s="125">
        <f>IF($F$4="NO",IF(Valores!$C$50*B269&gt;Valores!$F$47,Valores!$F$47,Valores!$C$50*B269),IF(Valores!$C$50*B269&gt;Valores!$F$47,Valores!$F$47,Valores!$C$50*B269)/2)</f>
        <v>32530.300000000003</v>
      </c>
      <c r="S269" s="125">
        <f>Valores!$C$18*B269</f>
        <v>19423.36</v>
      </c>
      <c r="T269" s="125">
        <f t="shared" si="53"/>
        <v>19423.36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IF(Valores!$C$99*B269&gt;Valores!$C$98,Valores!$C$98,Valores!$C$99*B269)</f>
        <v>59295.94</v>
      </c>
      <c r="AA269" s="125">
        <f>IF((Valores!$C$28)*B269&gt;Valores!$F$28,Valores!$F$28,(Valores!$C$28)*B269)</f>
        <v>1525.92</v>
      </c>
      <c r="AB269" s="214">
        <v>0</v>
      </c>
      <c r="AC269" s="125">
        <f t="shared" si="47"/>
        <v>0</v>
      </c>
      <c r="AD269" s="125">
        <f>IF(Valores!$C$29*B269&gt;Valores!$F$29,Valores!$F$29,Valores!$C$29*B269)</f>
        <v>1270.72</v>
      </c>
      <c r="AE269" s="192">
        <v>0</v>
      </c>
      <c r="AF269" s="125">
        <f>ROUND(AE269*Valores!$C$2,2)</f>
        <v>0</v>
      </c>
      <c r="AG269" s="125">
        <f>IF($F$4="NO",IF(Valores!$D$64*'Escala Docente'!B269&gt;Valores!$F$64,Valores!$F$64,Valores!$D$64*'Escala Docente'!B269),IF(Valores!$D$64*'Escala Docente'!B269&gt;Valores!$F$64,Valores!$F$64,Valores!$D$64*'Escala Docente'!B269)/2)+0.05</f>
        <v>29019.809999999998</v>
      </c>
      <c r="AH269" s="125">
        <f>SUM(F269,H269,J269,L269,M269,N269,O269,P269,Q269,R269,T269,U269,V269,X269,Y269,Z269,AA269,AC269,AD269,AF269,AG269)*Valores!$C$104</f>
        <v>43996.846</v>
      </c>
      <c r="AI269" s="125">
        <f t="shared" si="50"/>
        <v>483965.306</v>
      </c>
      <c r="AJ269" s="125">
        <f>IF(Valores!$C$33*B269&gt;Valores!$F$33,Valores!$F$33,Valores!$C$33*B269)</f>
        <v>51333.333333333256</v>
      </c>
      <c r="AK269" s="125">
        <v>0</v>
      </c>
      <c r="AL269" s="125">
        <f>IF(Valores!$C$92*B269&gt;Valores!$C$91,Valores!$C$91,Valores!$C$92*B269)</f>
        <v>0</v>
      </c>
      <c r="AM269" s="125">
        <f>IF(Valores!C$40*B269&gt;Valores!F$39,Valores!F$39,Valores!C$40*B269)</f>
        <v>0</v>
      </c>
      <c r="AN269" s="125">
        <f>IF($F$3="NO",0,IF(Valores!$C$63*B269&gt;Valores!$F$63,Valores!$F$63,Valores!$C$63*B269))</f>
        <v>0</v>
      </c>
      <c r="AO269" s="125">
        <f t="shared" si="48"/>
        <v>51333.333333333256</v>
      </c>
      <c r="AP269" s="125">
        <f>AI269*Valores!$C$72</f>
        <v>-53236.183659999995</v>
      </c>
      <c r="AQ269" s="125">
        <f>IF(AI269&lt;Valores!$E$73,-0.02,IF(AI269&lt;Valores!$F$73,-0.03,-0.04))*AI269</f>
        <v>-9679.30612</v>
      </c>
      <c r="AR269" s="125">
        <f>AI269*Valores!$C$75</f>
        <v>-26618.091829999998</v>
      </c>
      <c r="AS269" s="125">
        <f>Valores!$C$102</f>
        <v>-1270.16</v>
      </c>
      <c r="AT269" s="125">
        <f>IF($F$5=0,Valores!$C$103,(Valores!$C$103+$F$5*(Valores!$C$103)))</f>
        <v>-11714</v>
      </c>
      <c r="AU269" s="125">
        <f t="shared" si="51"/>
        <v>432780.8977233332</v>
      </c>
      <c r="AV269" s="125">
        <f t="shared" si="45"/>
        <v>-53236.183659999995</v>
      </c>
      <c r="AW269" s="125">
        <f t="shared" si="52"/>
        <v>-9679.30612</v>
      </c>
      <c r="AX269" s="125">
        <f>AI269*Valores!$C$76</f>
        <v>-13067.063262</v>
      </c>
      <c r="AY269" s="125">
        <f>AI269*Valores!$C$77</f>
        <v>-1451.895918</v>
      </c>
      <c r="AZ269" s="125">
        <f t="shared" si="49"/>
        <v>457864.19037333323</v>
      </c>
      <c r="BA269" s="125">
        <f>AI269*Valores!$C$79</f>
        <v>77434.44896</v>
      </c>
      <c r="BB269" s="125">
        <f>AI269*Valores!$C$80</f>
        <v>33877.57142</v>
      </c>
      <c r="BC269" s="125">
        <f>AI269*Valores!$C$81</f>
        <v>4839.65306</v>
      </c>
      <c r="BD269" s="125">
        <f>AI269*Valores!$C$83</f>
        <v>16938.78571</v>
      </c>
      <c r="BE269" s="125">
        <f>AI269*Valores!$C$85</f>
        <v>26134.126524</v>
      </c>
      <c r="BF269" s="125">
        <f>AI269*Valores!$C$84</f>
        <v>2903.791836</v>
      </c>
      <c r="BG269" s="126"/>
      <c r="BH269" s="126">
        <f t="shared" si="43"/>
        <v>22</v>
      </c>
      <c r="BI269" s="123" t="s">
        <v>4</v>
      </c>
    </row>
    <row r="270" spans="1:61" s="110" customFormat="1" ht="11.25" customHeight="1">
      <c r="A270" s="123" t="s">
        <v>466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4"/>
        <v>1738</v>
      </c>
      <c r="F270" s="125">
        <f>ROUND(E270*Valores!$C$2,2)</f>
        <v>143871.64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48956.33</v>
      </c>
      <c r="N270" s="125">
        <f t="shared" si="46"/>
        <v>0</v>
      </c>
      <c r="O270" s="125">
        <f>Valores!$C$7*B270</f>
        <v>61757.3</v>
      </c>
      <c r="P270" s="125">
        <f>ROUND(IF(B270&lt;15,(Valores!$E$5*B270),Valores!$D$5),2)</f>
        <v>42317.14</v>
      </c>
      <c r="Q270" s="125">
        <v>0</v>
      </c>
      <c r="R270" s="125">
        <f>IF($F$4="NO",IF(Valores!$C$50*B270&gt;Valores!$F$47,Valores!$F$47,Valores!$C$50*B270),IF(Valores!$C$50*B270&gt;Valores!$F$47,Valores!$F$47,Valores!$C$50*B270)/2)</f>
        <v>32530.300000000003</v>
      </c>
      <c r="S270" s="125">
        <f>Valores!$C$18*B270</f>
        <v>19423.36</v>
      </c>
      <c r="T270" s="125">
        <f t="shared" si="53"/>
        <v>19423.36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IF(Valores!$C$99*B270&gt;Valores!$C$98,Valores!$C$98,Valores!$C$99*B270)</f>
        <v>59295.94</v>
      </c>
      <c r="AA270" s="125">
        <f>IF((Valores!$C$28)*B270&gt;Valores!$F$28,Valores!$F$28,(Valores!$C$28)*B270)</f>
        <v>1525.92</v>
      </c>
      <c r="AB270" s="214">
        <v>0</v>
      </c>
      <c r="AC270" s="125">
        <f t="shared" si="47"/>
        <v>0</v>
      </c>
      <c r="AD270" s="125">
        <f>IF(Valores!$C$29*B270&gt;Valores!$F$29,Valores!$F$29,Valores!$C$29*B270)</f>
        <v>1270.72</v>
      </c>
      <c r="AE270" s="192">
        <v>94</v>
      </c>
      <c r="AF270" s="125">
        <f>ROUND(AE270*Valores!$C$2,2)</f>
        <v>7781.32</v>
      </c>
      <c r="AG270" s="125">
        <f>IF($F$4="NO",IF(Valores!$D$64*'Escala Docente'!B270&gt;Valores!$F$64,Valores!$F$64,Valores!$D$64*'Escala Docente'!B270),IF(Valores!$D$64*'Escala Docente'!B270&gt;Valores!$F$64,Valores!$F$64,Valores!$D$64*'Escala Docente'!B270)/2)+0.05</f>
        <v>29019.809999999998</v>
      </c>
      <c r="AH270" s="125">
        <f>SUM(F270,H270,J270,L270,M270,N270,O270,P270,Q270,R270,T270,U270,V270,X270,Y270,Z270,AA270,AC270,AD270,AF270,AG270)*Valores!$C$104</f>
        <v>44774.978</v>
      </c>
      <c r="AI270" s="125">
        <f t="shared" si="50"/>
        <v>492524.758</v>
      </c>
      <c r="AJ270" s="125">
        <f>IF(Valores!$C$33*B270&gt;Valores!$F$33,Valores!$F$33,Valores!$C$33*B270)</f>
        <v>51333.333333333256</v>
      </c>
      <c r="AK270" s="125">
        <v>0</v>
      </c>
      <c r="AL270" s="125">
        <f>IF(Valores!$C$92*B270&gt;Valores!$C$91,Valores!$C$91,Valores!$C$92*B270)</f>
        <v>0</v>
      </c>
      <c r="AM270" s="125">
        <f>IF(Valores!C$40*B270&gt;Valores!F$39,Valores!F$39,Valores!C$40*B270)</f>
        <v>0</v>
      </c>
      <c r="AN270" s="125">
        <f>IF($F$3="NO",0,IF(Valores!$C$63*B270&gt;Valores!$F$63,Valores!$F$63,Valores!$C$63*B270))</f>
        <v>0</v>
      </c>
      <c r="AO270" s="125">
        <f t="shared" si="48"/>
        <v>51333.333333333256</v>
      </c>
      <c r="AP270" s="125">
        <f>AI270*Valores!$C$72</f>
        <v>-54177.723379999996</v>
      </c>
      <c r="AQ270" s="125">
        <f>IF(AI270&lt;Valores!$E$73,-0.02,IF(AI270&lt;Valores!$F$73,-0.03,-0.04))*AI270</f>
        <v>-9850.49516</v>
      </c>
      <c r="AR270" s="125">
        <f>AI270*Valores!$C$75</f>
        <v>-27088.861689999998</v>
      </c>
      <c r="AS270" s="125">
        <f>Valores!$C$102</f>
        <v>-1270.16</v>
      </c>
      <c r="AT270" s="125">
        <f>IF($F$5=0,Valores!$C$103,(Valores!$C$103+$F$5*(Valores!$C$103)))</f>
        <v>-11714</v>
      </c>
      <c r="AU270" s="125">
        <f t="shared" si="51"/>
        <v>439756.85110333323</v>
      </c>
      <c r="AV270" s="125">
        <f t="shared" si="45"/>
        <v>-54177.723379999996</v>
      </c>
      <c r="AW270" s="125">
        <f t="shared" si="52"/>
        <v>-9850.49516</v>
      </c>
      <c r="AX270" s="125">
        <f>AI270*Valores!$C$76</f>
        <v>-13298.168466</v>
      </c>
      <c r="AY270" s="125">
        <f>AI270*Valores!$C$77</f>
        <v>-1477.574274</v>
      </c>
      <c r="AZ270" s="125">
        <f t="shared" si="49"/>
        <v>465054.1300533332</v>
      </c>
      <c r="BA270" s="125">
        <f>AI270*Valores!$C$79</f>
        <v>78803.96128</v>
      </c>
      <c r="BB270" s="125">
        <f>AI270*Valores!$C$80</f>
        <v>34476.73306</v>
      </c>
      <c r="BC270" s="125">
        <f>AI270*Valores!$C$81</f>
        <v>4925.24758</v>
      </c>
      <c r="BD270" s="125">
        <f>AI270*Valores!$C$83</f>
        <v>17238.36653</v>
      </c>
      <c r="BE270" s="125">
        <f>AI270*Valores!$C$85</f>
        <v>26596.336932</v>
      </c>
      <c r="BF270" s="125">
        <f>AI270*Valores!$C$84</f>
        <v>2955.148548</v>
      </c>
      <c r="BG270" s="126"/>
      <c r="BH270" s="126">
        <f t="shared" si="43"/>
        <v>22</v>
      </c>
      <c r="BI270" s="123" t="s">
        <v>4</v>
      </c>
    </row>
    <row r="271" spans="1:61" s="110" customFormat="1" ht="11.25" customHeight="1">
      <c r="A271" s="123" t="s">
        <v>466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4"/>
        <v>1817</v>
      </c>
      <c r="F271" s="125">
        <f>ROUND(E271*Valores!$C$2,2)</f>
        <v>150411.26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51181.61</v>
      </c>
      <c r="N271" s="125">
        <f t="shared" si="46"/>
        <v>0</v>
      </c>
      <c r="O271" s="125">
        <f>Valores!$C$7*B271</f>
        <v>64564.450000000004</v>
      </c>
      <c r="P271" s="125">
        <f>ROUND(IF(B271&lt;15,(Valores!$E$5*B271),Valores!$D$5),2)</f>
        <v>42317.14</v>
      </c>
      <c r="Q271" s="125">
        <v>0</v>
      </c>
      <c r="R271" s="125">
        <f>IF($F$4="NO",IF(Valores!$C$50*B271&gt;Valores!$F$47,Valores!$F$47,Valores!$C$50*B271),IF(Valores!$C$50*B271&gt;Valores!$F$47,Valores!$F$47,Valores!$C$50*B271)/2)</f>
        <v>34008.950000000004</v>
      </c>
      <c r="S271" s="125">
        <f>Valores!$C$18*B271</f>
        <v>20306.24</v>
      </c>
      <c r="T271" s="125">
        <f t="shared" si="53"/>
        <v>20306.24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IF(Valores!$C$99*B271&gt;Valores!$C$98,Valores!$C$98,Valores!$C$99*B271)</f>
        <v>61991.21</v>
      </c>
      <c r="AA271" s="125">
        <f>IF((Valores!$C$28)*B271&gt;Valores!$F$28,Valores!$F$28,(Valores!$C$28)*B271)</f>
        <v>1595.28</v>
      </c>
      <c r="AB271" s="214">
        <v>0</v>
      </c>
      <c r="AC271" s="125">
        <f t="shared" si="47"/>
        <v>0</v>
      </c>
      <c r="AD271" s="125">
        <f>IF(Valores!$C$29*B271&gt;Valores!$F$29,Valores!$F$29,Valores!$C$29*B271)</f>
        <v>1328.48</v>
      </c>
      <c r="AE271" s="192">
        <v>0</v>
      </c>
      <c r="AF271" s="125">
        <f>ROUND(AE271*Valores!$C$2,2)</f>
        <v>0</v>
      </c>
      <c r="AG271" s="125">
        <f>IF($F$4="NO",IF(Valores!$D$64*'Escala Docente'!B271&gt;Valores!$F$64,Valores!$F$64,Valores!$D$64*'Escala Docente'!B271),IF(Valores!$D$64*'Escala Docente'!B271&gt;Valores!$F$64,Valores!$F$64,Valores!$D$64*'Escala Docente'!B271)/2)+0.05</f>
        <v>30338.889999999996</v>
      </c>
      <c r="AH271" s="125">
        <f>SUM(F271,H271,J271,L271,M271,N271,O271,P271,Q271,R271,T271,U271,V271,X271,Y271,Z271,AA271,AC271,AD271,AF271,AG271)*Valores!$C$104</f>
        <v>45804.35100000001</v>
      </c>
      <c r="AI271" s="125">
        <f t="shared" si="50"/>
        <v>503847.8610000001</v>
      </c>
      <c r="AJ271" s="125">
        <f>IF(Valores!$C$33*B271&gt;Valores!$F$33,Valores!$F$33,Valores!$C$33*B271)</f>
        <v>53666.666666666584</v>
      </c>
      <c r="AK271" s="125">
        <v>0</v>
      </c>
      <c r="AL271" s="125">
        <f>IF(Valores!$C$92*B271&gt;Valores!$C$91,Valores!$C$91,Valores!$C$92*B271)</f>
        <v>0</v>
      </c>
      <c r="AM271" s="125">
        <f>IF(Valores!C$40*B271&gt;Valores!F$39,Valores!F$39,Valores!C$40*B271)</f>
        <v>0</v>
      </c>
      <c r="AN271" s="125">
        <f>IF($F$3="NO",0,IF(Valores!$C$63*B271&gt;Valores!$F$63,Valores!$F$63,Valores!$C$63*B271))</f>
        <v>0</v>
      </c>
      <c r="AO271" s="125">
        <f t="shared" si="48"/>
        <v>53666.666666666584</v>
      </c>
      <c r="AP271" s="125">
        <f>AI271*Valores!$C$72</f>
        <v>-55423.26471000001</v>
      </c>
      <c r="AQ271" s="125">
        <f>IF(AI271&lt;Valores!$E$73,-0.02,IF(AI271&lt;Valores!$F$73,-0.03,-0.04))*AI271</f>
        <v>-10076.957220000002</v>
      </c>
      <c r="AR271" s="125">
        <f>AI271*Valores!$C$75</f>
        <v>-27711.632355000005</v>
      </c>
      <c r="AS271" s="125">
        <f>Valores!$C$102</f>
        <v>-1270.16</v>
      </c>
      <c r="AT271" s="125">
        <f>IF($F$5=0,Valores!$C$103,(Valores!$C$103+$F$5*(Valores!$C$103)))</f>
        <v>-11714</v>
      </c>
      <c r="AU271" s="125">
        <f t="shared" si="51"/>
        <v>451318.5133816667</v>
      </c>
      <c r="AV271" s="125">
        <f t="shared" si="45"/>
        <v>-55423.26471000001</v>
      </c>
      <c r="AW271" s="125">
        <f t="shared" si="52"/>
        <v>-10076.957220000002</v>
      </c>
      <c r="AX271" s="125">
        <f>AI271*Valores!$C$76</f>
        <v>-13603.892247000002</v>
      </c>
      <c r="AY271" s="125">
        <f>AI271*Valores!$C$77</f>
        <v>-1511.5435830000004</v>
      </c>
      <c r="AZ271" s="125">
        <f t="shared" si="49"/>
        <v>476898.86990666663</v>
      </c>
      <c r="BA271" s="125">
        <f>AI271*Valores!$C$79</f>
        <v>80615.65776000002</v>
      </c>
      <c r="BB271" s="125">
        <f>AI271*Valores!$C$80</f>
        <v>35269.35027000001</v>
      </c>
      <c r="BC271" s="125">
        <f>AI271*Valores!$C$81</f>
        <v>5038.478610000001</v>
      </c>
      <c r="BD271" s="125">
        <f>AI271*Valores!$C$83</f>
        <v>17634.675135000005</v>
      </c>
      <c r="BE271" s="125">
        <f>AI271*Valores!$C$85</f>
        <v>27207.784494000003</v>
      </c>
      <c r="BF271" s="125">
        <f>AI271*Valores!$C$84</f>
        <v>3023.0871660000007</v>
      </c>
      <c r="BG271" s="126"/>
      <c r="BH271" s="126">
        <f t="shared" si="43"/>
        <v>23</v>
      </c>
      <c r="BI271" s="123" t="s">
        <v>8</v>
      </c>
    </row>
    <row r="272" spans="1:61" s="110" customFormat="1" ht="11.25" customHeight="1">
      <c r="A272" s="123" t="s">
        <v>466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4"/>
        <v>1817</v>
      </c>
      <c r="F272" s="125">
        <f>ROUND(E272*Valores!$C$2,2)</f>
        <v>150411.26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51181.61</v>
      </c>
      <c r="N272" s="125">
        <f t="shared" si="46"/>
        <v>0</v>
      </c>
      <c r="O272" s="125">
        <f>Valores!$C$7*B272</f>
        <v>64564.450000000004</v>
      </c>
      <c r="P272" s="125">
        <f>ROUND(IF(B272&lt;15,(Valores!$E$5*B272),Valores!$D$5),2)</f>
        <v>42317.14</v>
      </c>
      <c r="Q272" s="125">
        <v>0</v>
      </c>
      <c r="R272" s="125">
        <f>IF($F$4="NO",IF(Valores!$C$50*B272&gt;Valores!$F$47,Valores!$F$47,Valores!$C$50*B272),IF(Valores!$C$50*B272&gt;Valores!$F$47,Valores!$F$47,Valores!$C$50*B272)/2)</f>
        <v>34008.950000000004</v>
      </c>
      <c r="S272" s="125">
        <f>Valores!$C$18*B272</f>
        <v>20306.24</v>
      </c>
      <c r="T272" s="125">
        <f t="shared" si="53"/>
        <v>20306.24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IF(Valores!$C$99*B272&gt;Valores!$C$98,Valores!$C$98,Valores!$C$99*B272)</f>
        <v>61991.21</v>
      </c>
      <c r="AA272" s="125">
        <f>IF((Valores!$C$28)*B272&gt;Valores!$F$28,Valores!$F$28,(Valores!$C$28)*B272)</f>
        <v>1595.28</v>
      </c>
      <c r="AB272" s="214">
        <v>0</v>
      </c>
      <c r="AC272" s="125">
        <f t="shared" si="47"/>
        <v>0</v>
      </c>
      <c r="AD272" s="125">
        <f>IF(Valores!$C$29*B272&gt;Valores!$F$29,Valores!$F$29,Valores!$C$29*B272)</f>
        <v>1328.48</v>
      </c>
      <c r="AE272" s="192">
        <v>94</v>
      </c>
      <c r="AF272" s="125">
        <f>ROUND(AE272*Valores!$C$2,2)</f>
        <v>7781.32</v>
      </c>
      <c r="AG272" s="125">
        <f>IF($F$4="NO",IF(Valores!$D$64*'Escala Docente'!B272&gt;Valores!$F$64,Valores!$F$64,Valores!$D$64*'Escala Docente'!B272),IF(Valores!$D$64*'Escala Docente'!B272&gt;Valores!$F$64,Valores!$F$64,Valores!$D$64*'Escala Docente'!B272)/2)+0.05</f>
        <v>30338.889999999996</v>
      </c>
      <c r="AH272" s="125">
        <f>SUM(F272,H272,J272,L272,M272,N272,O272,P272,Q272,R272,T272,U272,V272,X272,Y272,Z272,AA272,AC272,AD272,AF272,AG272)*Valores!$C$104</f>
        <v>46582.48300000001</v>
      </c>
      <c r="AI272" s="125">
        <f t="shared" si="50"/>
        <v>512407.3130000001</v>
      </c>
      <c r="AJ272" s="125">
        <f>IF(Valores!$C$33*B272&gt;Valores!$F$33,Valores!$F$33,Valores!$C$33*B272)</f>
        <v>53666.666666666584</v>
      </c>
      <c r="AK272" s="125">
        <v>0</v>
      </c>
      <c r="AL272" s="125">
        <f>IF(Valores!$C$92*B272&gt;Valores!$C$91,Valores!$C$91,Valores!$C$92*B272)</f>
        <v>0</v>
      </c>
      <c r="AM272" s="125">
        <f>IF(Valores!C$40*B272&gt;Valores!F$39,Valores!F$39,Valores!C$40*B272)</f>
        <v>0</v>
      </c>
      <c r="AN272" s="125">
        <f>IF($F$3="NO",0,IF(Valores!$C$63*B272&gt;Valores!$F$63,Valores!$F$63,Valores!$C$63*B272))</f>
        <v>0</v>
      </c>
      <c r="AO272" s="125">
        <f t="shared" si="48"/>
        <v>53666.666666666584</v>
      </c>
      <c r="AP272" s="125">
        <f>AI272*Valores!$C$72</f>
        <v>-56364.80443000001</v>
      </c>
      <c r="AQ272" s="125">
        <f>IF(AI272&lt;Valores!$E$73,-0.02,IF(AI272&lt;Valores!$F$73,-0.03,-0.04))*AI272</f>
        <v>-10248.146260000001</v>
      </c>
      <c r="AR272" s="125">
        <f>AI272*Valores!$C$75</f>
        <v>-28182.402215000006</v>
      </c>
      <c r="AS272" s="125">
        <f>Valores!$C$102</f>
        <v>-1270.16</v>
      </c>
      <c r="AT272" s="125">
        <f>IF($F$5=0,Valores!$C$103,(Valores!$C$103+$F$5*(Valores!$C$103)))</f>
        <v>-11714</v>
      </c>
      <c r="AU272" s="125">
        <f t="shared" si="51"/>
        <v>458294.46676166664</v>
      </c>
      <c r="AV272" s="125">
        <f t="shared" si="45"/>
        <v>-56364.80443000001</v>
      </c>
      <c r="AW272" s="125">
        <f t="shared" si="52"/>
        <v>-10248.146260000001</v>
      </c>
      <c r="AX272" s="125">
        <f>AI272*Valores!$C$76</f>
        <v>-13834.997451000003</v>
      </c>
      <c r="AY272" s="125">
        <f>AI272*Valores!$C$77</f>
        <v>-1537.2219390000002</v>
      </c>
      <c r="AZ272" s="125">
        <f t="shared" si="49"/>
        <v>484088.8095866667</v>
      </c>
      <c r="BA272" s="125">
        <f>AI272*Valores!$C$79</f>
        <v>81985.17008000001</v>
      </c>
      <c r="BB272" s="125">
        <f>AI272*Valores!$C$80</f>
        <v>35868.51191000001</v>
      </c>
      <c r="BC272" s="125">
        <f>AI272*Valores!$C$81</f>
        <v>5124.073130000001</v>
      </c>
      <c r="BD272" s="125">
        <f>AI272*Valores!$C$83</f>
        <v>17934.255955000004</v>
      </c>
      <c r="BE272" s="125">
        <f>AI272*Valores!$C$85</f>
        <v>27669.994902000006</v>
      </c>
      <c r="BF272" s="125">
        <f>AI272*Valores!$C$84</f>
        <v>3074.4438780000005</v>
      </c>
      <c r="BG272" s="126"/>
      <c r="BH272" s="126">
        <f t="shared" si="43"/>
        <v>23</v>
      </c>
      <c r="BI272" s="123" t="s">
        <v>8</v>
      </c>
    </row>
    <row r="273" spans="1:61" s="110" customFormat="1" ht="11.25" customHeight="1">
      <c r="A273" s="123" t="s">
        <v>466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4"/>
        <v>1896</v>
      </c>
      <c r="F273" s="125">
        <f>ROUND(E273*Valores!$C$2,2)</f>
        <v>156950.88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53406.9</v>
      </c>
      <c r="N273" s="125">
        <f t="shared" si="46"/>
        <v>0</v>
      </c>
      <c r="O273" s="125">
        <f>Valores!$C$7*B273</f>
        <v>67371.6</v>
      </c>
      <c r="P273" s="125">
        <f>ROUND(IF(B273&lt;15,(Valores!$E$5*B273),Valores!$D$5),2)</f>
        <v>42317.14</v>
      </c>
      <c r="Q273" s="125">
        <v>0</v>
      </c>
      <c r="R273" s="125">
        <f>IF($F$4="NO",IF(Valores!$C$50*B273&gt;Valores!$F$47,Valores!$F$47,Valores!$C$50*B273),IF(Valores!$C$50*B273&gt;Valores!$F$47,Valores!$F$47,Valores!$C$50*B273)/2)</f>
        <v>35487.600000000006</v>
      </c>
      <c r="S273" s="125">
        <f>Valores!$C$18*B273</f>
        <v>21189.12</v>
      </c>
      <c r="T273" s="125">
        <f t="shared" si="53"/>
        <v>21189.12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IF(Valores!$C$99*B273&gt;Valores!$C$98,Valores!$C$98,Valores!$C$99*B273)</f>
        <v>64686.479999999996</v>
      </c>
      <c r="AA273" s="125">
        <f>IF((Valores!$C$28)*B273&gt;Valores!$F$28,Valores!$F$28,(Valores!$C$28)*B273)</f>
        <v>1664.6399999999999</v>
      </c>
      <c r="AB273" s="214">
        <v>0</v>
      </c>
      <c r="AC273" s="125">
        <f t="shared" si="47"/>
        <v>0</v>
      </c>
      <c r="AD273" s="125">
        <f>IF(Valores!$C$29*B273&gt;Valores!$F$29,Valores!$F$29,Valores!$C$29*B273)</f>
        <v>1386.24</v>
      </c>
      <c r="AE273" s="192">
        <v>0</v>
      </c>
      <c r="AF273" s="125">
        <f>ROUND(AE273*Valores!$C$2,2)</f>
        <v>0</v>
      </c>
      <c r="AG273" s="125">
        <f>IF($F$4="NO",IF(Valores!$D$64*'Escala Docente'!B273&gt;Valores!$F$64,Valores!$F$64,Valores!$D$64*'Escala Docente'!B273),IF(Valores!$D$64*'Escala Docente'!B273&gt;Valores!$F$64,Valores!$F$64,Valores!$D$64*'Escala Docente'!B273)/2)+0.05</f>
        <v>31657.969999999998</v>
      </c>
      <c r="AH273" s="125">
        <f>SUM(F273,H273,J273,L273,M273,N273,O273,P273,Q273,R273,T273,U273,V273,X273,Y273,Z273,AA273,AC273,AD273,AF273,AG273)*Valores!$C$104</f>
        <v>47611.856999999996</v>
      </c>
      <c r="AI273" s="125">
        <f t="shared" si="50"/>
        <v>523730.42699999997</v>
      </c>
      <c r="AJ273" s="125">
        <f>IF(Valores!$C$33*B273&gt;Valores!$F$33,Valores!$F$33,Valores!$C$33*B273)</f>
        <v>55999.99999999991</v>
      </c>
      <c r="AK273" s="125">
        <v>0</v>
      </c>
      <c r="AL273" s="125">
        <f>IF(Valores!$C$92*B273&gt;Valores!$C$91,Valores!$C$91,Valores!$C$92*B273)</f>
        <v>0</v>
      </c>
      <c r="AM273" s="125">
        <f>IF(Valores!C$40*B273&gt;Valores!F$39,Valores!F$39,Valores!C$40*B273)</f>
        <v>0</v>
      </c>
      <c r="AN273" s="125">
        <f>IF($F$3="NO",0,IF(Valores!$C$63*B273&gt;Valores!$F$63,Valores!$F$63,Valores!$C$63*B273))</f>
        <v>0</v>
      </c>
      <c r="AO273" s="125">
        <f t="shared" si="48"/>
        <v>55999.99999999991</v>
      </c>
      <c r="AP273" s="125">
        <f>AI273*Valores!$C$72</f>
        <v>-57610.34697</v>
      </c>
      <c r="AQ273" s="125">
        <f>IF(AI273&lt;Valores!$E$73,-0.02,IF(AI273&lt;Valores!$F$73,-0.03,-0.04))*AI273</f>
        <v>-10474.60854</v>
      </c>
      <c r="AR273" s="125">
        <f>AI273*Valores!$C$75</f>
        <v>-28805.173485</v>
      </c>
      <c r="AS273" s="125">
        <f>Valores!$C$102</f>
        <v>-1270.16</v>
      </c>
      <c r="AT273" s="125">
        <f>IF($F$5=0,Valores!$C$103,(Valores!$C$103+$F$5*(Valores!$C$103)))</f>
        <v>-11714</v>
      </c>
      <c r="AU273" s="125">
        <f t="shared" si="51"/>
        <v>469856.1380049999</v>
      </c>
      <c r="AV273" s="125">
        <f t="shared" si="45"/>
        <v>-57610.34697</v>
      </c>
      <c r="AW273" s="125">
        <f t="shared" si="52"/>
        <v>-10474.60854</v>
      </c>
      <c r="AX273" s="125">
        <f>AI273*Valores!$C$76</f>
        <v>-14140.721528999999</v>
      </c>
      <c r="AY273" s="125">
        <f>AI273*Valores!$C$77</f>
        <v>-1571.191281</v>
      </c>
      <c r="AZ273" s="125">
        <f t="shared" si="49"/>
        <v>495933.5586799999</v>
      </c>
      <c r="BA273" s="125">
        <f>AI273*Valores!$C$79</f>
        <v>83796.86832</v>
      </c>
      <c r="BB273" s="125">
        <f>AI273*Valores!$C$80</f>
        <v>36661.129890000004</v>
      </c>
      <c r="BC273" s="125">
        <f>AI273*Valores!$C$81</f>
        <v>5237.30427</v>
      </c>
      <c r="BD273" s="125">
        <f>AI273*Valores!$C$83</f>
        <v>18330.564945000002</v>
      </c>
      <c r="BE273" s="125">
        <f>AI273*Valores!$C$85</f>
        <v>28281.443057999997</v>
      </c>
      <c r="BF273" s="125">
        <f>AI273*Valores!$C$84</f>
        <v>3142.382562</v>
      </c>
      <c r="BG273" s="126"/>
      <c r="BH273" s="126">
        <f t="shared" si="43"/>
        <v>24</v>
      </c>
      <c r="BI273" s="123" t="s">
        <v>8</v>
      </c>
    </row>
    <row r="274" spans="1:61" s="110" customFormat="1" ht="11.25" customHeight="1">
      <c r="A274" s="123" t="s">
        <v>466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4"/>
        <v>1896</v>
      </c>
      <c r="F274" s="125">
        <f>ROUND(E274*Valores!$C$2,2)</f>
        <v>156950.88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53406.9</v>
      </c>
      <c r="N274" s="125">
        <f t="shared" si="46"/>
        <v>0</v>
      </c>
      <c r="O274" s="125">
        <f>Valores!$C$7*B274</f>
        <v>67371.6</v>
      </c>
      <c r="P274" s="125">
        <f>ROUND(IF(B274&lt;15,(Valores!$E$5*B274),Valores!$D$5),2)</f>
        <v>42317.14</v>
      </c>
      <c r="Q274" s="125">
        <v>0</v>
      </c>
      <c r="R274" s="125">
        <f>IF($F$4="NO",IF(Valores!$C$50*B274&gt;Valores!$F$47,Valores!$F$47,Valores!$C$50*B274),IF(Valores!$C$50*B274&gt;Valores!$F$47,Valores!$F$47,Valores!$C$50*B274)/2)</f>
        <v>35487.600000000006</v>
      </c>
      <c r="S274" s="125">
        <f>Valores!$C$18*B274</f>
        <v>21189.12</v>
      </c>
      <c r="T274" s="125">
        <f t="shared" si="53"/>
        <v>21189.12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IF(Valores!$C$99*B274&gt;Valores!$C$98,Valores!$C$98,Valores!$C$99*B274)</f>
        <v>64686.479999999996</v>
      </c>
      <c r="AA274" s="125">
        <f>IF((Valores!$C$28)*B274&gt;Valores!$F$28,Valores!$F$28,(Valores!$C$28)*B274)</f>
        <v>1664.6399999999999</v>
      </c>
      <c r="AB274" s="214">
        <v>0</v>
      </c>
      <c r="AC274" s="125">
        <f t="shared" si="47"/>
        <v>0</v>
      </c>
      <c r="AD274" s="125">
        <f>IF(Valores!$C$29*B274&gt;Valores!$F$29,Valores!$F$29,Valores!$C$29*B274)</f>
        <v>1386.24</v>
      </c>
      <c r="AE274" s="192">
        <v>94</v>
      </c>
      <c r="AF274" s="125">
        <f>ROUND(AE274*Valores!$C$2,2)</f>
        <v>7781.32</v>
      </c>
      <c r="AG274" s="125">
        <f>IF($F$4="NO",IF(Valores!$D$64*'Escala Docente'!B274&gt;Valores!$F$64,Valores!$F$64,Valores!$D$64*'Escala Docente'!B274),IF(Valores!$D$64*'Escala Docente'!B274&gt;Valores!$F$64,Valores!$F$64,Valores!$D$64*'Escala Docente'!B274)/2)+0.05</f>
        <v>31657.969999999998</v>
      </c>
      <c r="AH274" s="125">
        <f>SUM(F274,H274,J274,L274,M274,N274,O274,P274,Q274,R274,T274,U274,V274,X274,Y274,Z274,AA274,AC274,AD274,AF274,AG274)*Valores!$C$104</f>
        <v>48389.989</v>
      </c>
      <c r="AI274" s="125">
        <f t="shared" si="50"/>
        <v>532289.879</v>
      </c>
      <c r="AJ274" s="125">
        <f>IF(Valores!$C$33*B274&gt;Valores!$F$33,Valores!$F$33,Valores!$C$33*B274)</f>
        <v>55999.99999999991</v>
      </c>
      <c r="AK274" s="125">
        <v>0</v>
      </c>
      <c r="AL274" s="125">
        <f>IF(Valores!$C$92*B274&gt;Valores!$C$91,Valores!$C$91,Valores!$C$92*B274)</f>
        <v>0</v>
      </c>
      <c r="AM274" s="125">
        <f>IF(Valores!C$40*B274&gt;Valores!F$39,Valores!F$39,Valores!C$40*B274)</f>
        <v>0</v>
      </c>
      <c r="AN274" s="125">
        <f>IF($F$3="NO",0,IF(Valores!$C$63*B274&gt;Valores!$F$63,Valores!$F$63,Valores!$C$63*B274))</f>
        <v>0</v>
      </c>
      <c r="AO274" s="125">
        <f t="shared" si="48"/>
        <v>55999.99999999991</v>
      </c>
      <c r="AP274" s="125">
        <f>AI274*Valores!$C$72</f>
        <v>-58551.88668999999</v>
      </c>
      <c r="AQ274" s="125">
        <f>IF(AI274&lt;Valores!$E$73,-0.02,IF(AI274&lt;Valores!$F$73,-0.03,-0.04))*AI274</f>
        <v>-10645.797579999999</v>
      </c>
      <c r="AR274" s="125">
        <f>AI274*Valores!$C$75</f>
        <v>-29275.943344999996</v>
      </c>
      <c r="AS274" s="125">
        <f>Valores!$C$102</f>
        <v>-1270.16</v>
      </c>
      <c r="AT274" s="125">
        <f>IF($F$5=0,Valores!$C$103,(Valores!$C$103+$F$5*(Valores!$C$103)))</f>
        <v>-11714</v>
      </c>
      <c r="AU274" s="125">
        <f t="shared" si="51"/>
        <v>476832.09138499986</v>
      </c>
      <c r="AV274" s="125">
        <f t="shared" si="45"/>
        <v>-58551.88668999999</v>
      </c>
      <c r="AW274" s="125">
        <f t="shared" si="52"/>
        <v>-10645.797579999999</v>
      </c>
      <c r="AX274" s="125">
        <f>AI274*Valores!$C$76</f>
        <v>-14371.826732999998</v>
      </c>
      <c r="AY274" s="125">
        <f>AI274*Valores!$C$77</f>
        <v>-1596.869637</v>
      </c>
      <c r="AZ274" s="125">
        <f t="shared" si="49"/>
        <v>503123.49835999985</v>
      </c>
      <c r="BA274" s="125">
        <f>AI274*Valores!$C$79</f>
        <v>85166.38063999999</v>
      </c>
      <c r="BB274" s="125">
        <f>AI274*Valores!$C$80</f>
        <v>37260.29153</v>
      </c>
      <c r="BC274" s="125">
        <f>AI274*Valores!$C$81</f>
        <v>5322.898789999999</v>
      </c>
      <c r="BD274" s="125">
        <f>AI274*Valores!$C$83</f>
        <v>18630.145765</v>
      </c>
      <c r="BE274" s="125">
        <f>AI274*Valores!$C$85</f>
        <v>28743.653465999996</v>
      </c>
      <c r="BF274" s="125">
        <f>AI274*Valores!$C$84</f>
        <v>3193.739274</v>
      </c>
      <c r="BG274" s="126"/>
      <c r="BH274" s="126">
        <f t="shared" si="43"/>
        <v>24</v>
      </c>
      <c r="BI274" s="123" t="s">
        <v>8</v>
      </c>
    </row>
    <row r="275" spans="1:61" s="110" customFormat="1" ht="11.25" customHeight="1">
      <c r="A275" s="123" t="s">
        <v>466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4"/>
        <v>1975</v>
      </c>
      <c r="F275" s="125">
        <f>ROUND(E275*Valores!$C$2,2)</f>
        <v>163490.5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55632.19</v>
      </c>
      <c r="N275" s="125">
        <f t="shared" si="46"/>
        <v>0</v>
      </c>
      <c r="O275" s="125">
        <f>Valores!$C$7*B275</f>
        <v>70178.75</v>
      </c>
      <c r="P275" s="125">
        <f>ROUND(IF(B275&lt;15,(Valores!$E$5*B275),Valores!$D$5),2)</f>
        <v>42317.14</v>
      </c>
      <c r="Q275" s="125">
        <v>0</v>
      </c>
      <c r="R275" s="125">
        <f>IF($F$4="NO",IF(Valores!$C$50*B275&gt;Valores!$F$47,Valores!$F$47,Valores!$C$50*B275),IF(Valores!$C$50*B275&gt;Valores!$F$47,Valores!$F$47,Valores!$C$50*B275)/2)</f>
        <v>36966.25</v>
      </c>
      <c r="S275" s="125">
        <f>Valores!$C$18*B275</f>
        <v>22072</v>
      </c>
      <c r="T275" s="125">
        <f t="shared" si="53"/>
        <v>22072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IF(Valores!$C$99*B275&gt;Valores!$C$98,Valores!$C$98,Valores!$C$99*B275)</f>
        <v>67381.75</v>
      </c>
      <c r="AA275" s="125">
        <f>IF((Valores!$C$28)*B275&gt;Valores!$F$28,Valores!$F$28,(Valores!$C$28)*B275)</f>
        <v>1734</v>
      </c>
      <c r="AB275" s="214">
        <v>0</v>
      </c>
      <c r="AC275" s="125">
        <f t="shared" si="47"/>
        <v>0</v>
      </c>
      <c r="AD275" s="125">
        <f>IF(Valores!$C$29*B275&gt;Valores!$F$29,Valores!$F$29,Valores!$C$29*B275)</f>
        <v>1444</v>
      </c>
      <c r="AE275" s="192">
        <v>0</v>
      </c>
      <c r="AF275" s="125">
        <f>ROUND(AE275*Valores!$C$2,2)</f>
        <v>0</v>
      </c>
      <c r="AG275" s="125">
        <f>IF($F$4="NO",IF(Valores!$D$64*'Escala Docente'!B275&gt;Valores!$F$64,Valores!$F$64,Valores!$D$64*'Escala Docente'!B275),IF(Valores!$D$64*'Escala Docente'!B275&gt;Valores!$F$64,Valores!$F$64,Valores!$D$64*'Escala Docente'!B275)/2)+0.05</f>
        <v>32977.05</v>
      </c>
      <c r="AH275" s="125">
        <f>SUM(F275,H275,J275,L275,M275,N275,O275,P275,Q275,R275,T275,U275,V275,X275,Y275,Z275,AA275,AC275,AD275,AF275,AG275)*Valores!$C$104</f>
        <v>49419.363000000005</v>
      </c>
      <c r="AI275" s="125">
        <f t="shared" si="50"/>
        <v>543612.993</v>
      </c>
      <c r="AJ275" s="125">
        <f>IF(Valores!$C$33*B275&gt;Valores!$F$33,Valores!$F$33,Valores!$C$33*B275)</f>
        <v>58333.33333333325</v>
      </c>
      <c r="AK275" s="125">
        <v>0</v>
      </c>
      <c r="AL275" s="125">
        <f>IF(Valores!$C$92*B275&gt;Valores!$C$91,Valores!$C$91,Valores!$C$92*B275)</f>
        <v>0</v>
      </c>
      <c r="AM275" s="125">
        <f>IF(Valores!C$40*B275&gt;Valores!F$39,Valores!F$39,Valores!C$40*B275)</f>
        <v>0</v>
      </c>
      <c r="AN275" s="125">
        <f>IF($F$3="NO",0,IF(Valores!$C$63*B275&gt;Valores!$F$63,Valores!$F$63,Valores!$C$63*B275))</f>
        <v>0</v>
      </c>
      <c r="AO275" s="125">
        <f t="shared" si="48"/>
        <v>58333.33333333325</v>
      </c>
      <c r="AP275" s="125">
        <f>AI275*Valores!$C$72</f>
        <v>-59797.42923</v>
      </c>
      <c r="AQ275" s="125">
        <f>IF(AI275&lt;Valores!$E$73,-0.02,IF(AI275&lt;Valores!$F$73,-0.03,-0.04))*AI275</f>
        <v>-10872.25986</v>
      </c>
      <c r="AR275" s="125">
        <f>AI275*Valores!$C$75</f>
        <v>-29898.714615</v>
      </c>
      <c r="AS275" s="125">
        <f>Valores!$C$102</f>
        <v>-1270.16</v>
      </c>
      <c r="AT275" s="125">
        <f>IF($F$5=0,Valores!$C$103,(Valores!$C$103+$F$5*(Valores!$C$103)))</f>
        <v>-11714</v>
      </c>
      <c r="AU275" s="125">
        <f t="shared" si="51"/>
        <v>488393.76262833324</v>
      </c>
      <c r="AV275" s="125">
        <f t="shared" si="45"/>
        <v>-59797.42923</v>
      </c>
      <c r="AW275" s="125">
        <f t="shared" si="52"/>
        <v>-10872.25986</v>
      </c>
      <c r="AX275" s="125">
        <f>AI275*Valores!$C$76</f>
        <v>-14677.550811000001</v>
      </c>
      <c r="AY275" s="125">
        <f>AI275*Valores!$C$77</f>
        <v>-1630.838979</v>
      </c>
      <c r="AZ275" s="125">
        <f t="shared" si="49"/>
        <v>514968.2474533333</v>
      </c>
      <c r="BA275" s="125">
        <f>AI275*Valores!$C$79</f>
        <v>86978.07888</v>
      </c>
      <c r="BB275" s="125">
        <f>AI275*Valores!$C$80</f>
        <v>38052.909510000005</v>
      </c>
      <c r="BC275" s="125">
        <f>AI275*Valores!$C$81</f>
        <v>5436.12993</v>
      </c>
      <c r="BD275" s="125">
        <f>AI275*Valores!$C$83</f>
        <v>19026.454755000002</v>
      </c>
      <c r="BE275" s="125">
        <f>AI275*Valores!$C$85</f>
        <v>29355.101622000002</v>
      </c>
      <c r="BF275" s="125">
        <f>AI275*Valores!$C$84</f>
        <v>3261.677958</v>
      </c>
      <c r="BG275" s="126"/>
      <c r="BH275" s="126">
        <f t="shared" si="43"/>
        <v>25</v>
      </c>
      <c r="BI275" s="123" t="s">
        <v>4</v>
      </c>
    </row>
    <row r="276" spans="1:61" s="110" customFormat="1" ht="11.25" customHeight="1">
      <c r="A276" s="123" t="s">
        <v>466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4"/>
        <v>1975</v>
      </c>
      <c r="F276" s="125">
        <f>ROUND(E276*Valores!$C$2,2)</f>
        <v>163490.5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55632.19</v>
      </c>
      <c r="N276" s="125">
        <f t="shared" si="46"/>
        <v>0</v>
      </c>
      <c r="O276" s="125">
        <f>Valores!$C$7*B276</f>
        <v>70178.75</v>
      </c>
      <c r="P276" s="125">
        <f>ROUND(IF(B276&lt;15,(Valores!$E$5*B276),Valores!$D$5),2)</f>
        <v>42317.14</v>
      </c>
      <c r="Q276" s="125">
        <v>0</v>
      </c>
      <c r="R276" s="125">
        <f>IF($F$4="NO",IF(Valores!$C$50*B276&gt;Valores!$F$47,Valores!$F$47,Valores!$C$50*B276),IF(Valores!$C$50*B276&gt;Valores!$F$47,Valores!$F$47,Valores!$C$50*B276)/2)</f>
        <v>36966.25</v>
      </c>
      <c r="S276" s="125">
        <f>Valores!$C$18*B276</f>
        <v>22072</v>
      </c>
      <c r="T276" s="125">
        <f t="shared" si="53"/>
        <v>22072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IF(Valores!$C$99*B276&gt;Valores!$C$98,Valores!$C$98,Valores!$C$99*B276)</f>
        <v>67381.75</v>
      </c>
      <c r="AA276" s="125">
        <f>IF((Valores!$C$28)*B276&gt;Valores!$F$28,Valores!$F$28,(Valores!$C$28)*B276)</f>
        <v>1734</v>
      </c>
      <c r="AB276" s="214">
        <v>0</v>
      </c>
      <c r="AC276" s="125">
        <f t="shared" si="47"/>
        <v>0</v>
      </c>
      <c r="AD276" s="125">
        <f>IF(Valores!$C$29*B276&gt;Valores!$F$29,Valores!$F$29,Valores!$C$29*B276)</f>
        <v>1444</v>
      </c>
      <c r="AE276" s="192">
        <v>94</v>
      </c>
      <c r="AF276" s="125">
        <f>ROUND(AE276*Valores!$C$2,2)</f>
        <v>7781.32</v>
      </c>
      <c r="AG276" s="125">
        <f>IF($F$4="NO",IF(Valores!$D$64*'Escala Docente'!B276&gt;Valores!$F$64,Valores!$F$64,Valores!$D$64*'Escala Docente'!B276),IF(Valores!$D$64*'Escala Docente'!B276&gt;Valores!$F$64,Valores!$F$64,Valores!$D$64*'Escala Docente'!B276)/2)+0.05</f>
        <v>32977.05</v>
      </c>
      <c r="AH276" s="125">
        <f>SUM(F276,H276,J276,L276,M276,N276,O276,P276,Q276,R276,T276,U276,V276,X276,Y276,Z276,AA276,AC276,AD276,AF276,AG276)*Valores!$C$104</f>
        <v>50197.495</v>
      </c>
      <c r="AI276" s="125">
        <f t="shared" si="50"/>
        <v>552172.4450000001</v>
      </c>
      <c r="AJ276" s="125">
        <f>IF(Valores!$C$33*B276&gt;Valores!$F$33,Valores!$F$33,Valores!$C$33*B276)</f>
        <v>58333.33333333325</v>
      </c>
      <c r="AK276" s="125">
        <v>0</v>
      </c>
      <c r="AL276" s="125">
        <f>IF(Valores!$C$92*B276&gt;Valores!$C$91,Valores!$C$91,Valores!$C$92*B276)</f>
        <v>0</v>
      </c>
      <c r="AM276" s="125">
        <f>IF(Valores!C$40*B276&gt;Valores!F$39,Valores!F$39,Valores!C$40*B276)</f>
        <v>0</v>
      </c>
      <c r="AN276" s="125">
        <f>IF($F$3="NO",0,IF(Valores!$C$63*B276&gt;Valores!$F$63,Valores!$F$63,Valores!$C$63*B276))</f>
        <v>0</v>
      </c>
      <c r="AO276" s="125">
        <f t="shared" si="48"/>
        <v>58333.33333333325</v>
      </c>
      <c r="AP276" s="125">
        <f>AI276*Valores!$C$72</f>
        <v>-60738.96895000001</v>
      </c>
      <c r="AQ276" s="125">
        <f>IF(AI276&lt;Valores!$E$73,-0.02,IF(AI276&lt;Valores!$F$73,-0.03,-0.04))*AI276</f>
        <v>-11043.448900000001</v>
      </c>
      <c r="AR276" s="125">
        <f>AI276*Valores!$C$75</f>
        <v>-30369.484475000005</v>
      </c>
      <c r="AS276" s="125">
        <f>Valores!$C$102</f>
        <v>-1270.16</v>
      </c>
      <c r="AT276" s="125">
        <f>IF($F$5=0,Valores!$C$103,(Valores!$C$103+$F$5*(Valores!$C$103)))</f>
        <v>-11714</v>
      </c>
      <c r="AU276" s="125">
        <f t="shared" si="51"/>
        <v>495369.7160083333</v>
      </c>
      <c r="AV276" s="125">
        <f t="shared" si="45"/>
        <v>-60738.96895000001</v>
      </c>
      <c r="AW276" s="125">
        <f t="shared" si="52"/>
        <v>-11043.448900000001</v>
      </c>
      <c r="AX276" s="125">
        <f>AI276*Valores!$C$76</f>
        <v>-14908.656015000002</v>
      </c>
      <c r="AY276" s="125">
        <f>AI276*Valores!$C$77</f>
        <v>-1656.5173350000002</v>
      </c>
      <c r="AZ276" s="125">
        <f t="shared" si="49"/>
        <v>522158.1871333333</v>
      </c>
      <c r="BA276" s="125">
        <f>AI276*Valores!$C$79</f>
        <v>88347.59120000001</v>
      </c>
      <c r="BB276" s="125">
        <f>AI276*Valores!$C$80</f>
        <v>38652.07115000001</v>
      </c>
      <c r="BC276" s="125">
        <f>AI276*Valores!$C$81</f>
        <v>5521.724450000001</v>
      </c>
      <c r="BD276" s="125">
        <f>AI276*Valores!$C$83</f>
        <v>19326.035575000005</v>
      </c>
      <c r="BE276" s="125">
        <f>AI276*Valores!$C$85</f>
        <v>29817.312030000005</v>
      </c>
      <c r="BF276" s="125">
        <f>AI276*Valores!$C$84</f>
        <v>3313.0346700000005</v>
      </c>
      <c r="BG276" s="126"/>
      <c r="BH276" s="126">
        <f t="shared" si="43"/>
        <v>25</v>
      </c>
      <c r="BI276" s="123" t="s">
        <v>4</v>
      </c>
    </row>
    <row r="277" spans="1:61" s="110" customFormat="1" ht="11.25" customHeight="1">
      <c r="A277" s="123" t="s">
        <v>466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4"/>
        <v>2054</v>
      </c>
      <c r="F277" s="125">
        <f>ROUND(E277*Valores!$C$2,2)</f>
        <v>170030.12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57857.48</v>
      </c>
      <c r="N277" s="125">
        <f t="shared" si="46"/>
        <v>0</v>
      </c>
      <c r="O277" s="125">
        <f>Valores!$C$7*B277</f>
        <v>72985.90000000001</v>
      </c>
      <c r="P277" s="125">
        <f>ROUND(IF(B277&lt;15,(Valores!$E$5*B277),Valores!$D$5),2)</f>
        <v>42317.14</v>
      </c>
      <c r="Q277" s="125">
        <v>0</v>
      </c>
      <c r="R277" s="125">
        <f>IF($F$4="NO",IF(Valores!$C$50*B277&gt;Valores!$F$47,Valores!$F$47,Valores!$C$50*B277),IF(Valores!$C$50*B277&gt;Valores!$F$47,Valores!$F$47,Valores!$C$50*B277)/2)</f>
        <v>38444.9</v>
      </c>
      <c r="S277" s="125">
        <f>Valores!$C$18*B277</f>
        <v>22954.88</v>
      </c>
      <c r="T277" s="125">
        <f t="shared" si="53"/>
        <v>22954.88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IF(Valores!$C$99*B277&gt;Valores!$C$98,Valores!$C$98,Valores!$C$99*B277)</f>
        <v>70077.02</v>
      </c>
      <c r="AA277" s="125">
        <f>IF((Valores!$C$28)*B277&gt;Valores!$F$28,Valores!$F$28,(Valores!$C$28)*B277)</f>
        <v>1803.36</v>
      </c>
      <c r="AB277" s="214">
        <v>0</v>
      </c>
      <c r="AC277" s="125">
        <f t="shared" si="47"/>
        <v>0</v>
      </c>
      <c r="AD277" s="125">
        <f>IF(Valores!$C$29*B277&gt;Valores!$F$29,Valores!$F$29,Valores!$C$29*B277)</f>
        <v>1501.76</v>
      </c>
      <c r="AE277" s="192">
        <v>0</v>
      </c>
      <c r="AF277" s="125">
        <f>ROUND(AE277*Valores!$C$2,2)</f>
        <v>0</v>
      </c>
      <c r="AG277" s="125">
        <f>IF($F$4="NO",IF(Valores!$D$64*'Escala Docente'!B277&gt;Valores!$F$64,Valores!$F$64,Valores!$D$64*'Escala Docente'!B277),IF(Valores!$D$64*'Escala Docente'!B277&gt;Valores!$F$64,Valores!$F$64,Valores!$D$64*'Escala Docente'!B277)/2)+0.05</f>
        <v>34296.130000000005</v>
      </c>
      <c r="AH277" s="125">
        <f>SUM(F277,H277,J277,L277,M277,N277,O277,P277,Q277,R277,T277,U277,V277,X277,Y277,Z277,AA277,AC277,AD277,AF277,AG277)*Valores!$C$104</f>
        <v>51226.869000000006</v>
      </c>
      <c r="AI277" s="125">
        <f t="shared" si="50"/>
        <v>563495.5590000001</v>
      </c>
      <c r="AJ277" s="125">
        <f>IF(Valores!$C$33*B277&gt;Valores!$F$33,Valores!$F$33,Valores!$C$33*B277)</f>
        <v>60666.66666666658</v>
      </c>
      <c r="AK277" s="125">
        <v>0</v>
      </c>
      <c r="AL277" s="125">
        <f>IF(Valores!$C$92*B277&gt;Valores!$C$91,Valores!$C$91,Valores!$C$92*B277)</f>
        <v>0</v>
      </c>
      <c r="AM277" s="125">
        <f>IF(Valores!C$40*B277&gt;Valores!F$39,Valores!F$39,Valores!C$40*B277)</f>
        <v>0</v>
      </c>
      <c r="AN277" s="125">
        <f>IF($F$3="NO",0,IF(Valores!$C$63*B277&gt;Valores!$F$63,Valores!$F$63,Valores!$C$63*B277))</f>
        <v>0</v>
      </c>
      <c r="AO277" s="125">
        <f t="shared" si="48"/>
        <v>60666.66666666658</v>
      </c>
      <c r="AP277" s="125">
        <f>AI277*Valores!$C$72</f>
        <v>-61984.51149000001</v>
      </c>
      <c r="AQ277" s="125">
        <f>IF(AI277&lt;Valores!$E$73,-0.02,IF(AI277&lt;Valores!$F$73,-0.03,-0.04))*AI277</f>
        <v>-11269.911180000003</v>
      </c>
      <c r="AR277" s="125">
        <f>AI277*Valores!$C$75</f>
        <v>-30992.255745000006</v>
      </c>
      <c r="AS277" s="125">
        <f>Valores!$C$102</f>
        <v>-1270.16</v>
      </c>
      <c r="AT277" s="125">
        <f>IF($F$5=0,Valores!$C$103,(Valores!$C$103+$F$5*(Valores!$C$103)))</f>
        <v>-11714</v>
      </c>
      <c r="AU277" s="125">
        <f t="shared" si="51"/>
        <v>506931.3872516667</v>
      </c>
      <c r="AV277" s="125">
        <f t="shared" si="45"/>
        <v>-61984.51149000001</v>
      </c>
      <c r="AW277" s="125">
        <f t="shared" si="52"/>
        <v>-11269.911180000003</v>
      </c>
      <c r="AX277" s="125">
        <f>AI277*Valores!$C$76</f>
        <v>-15214.380093000003</v>
      </c>
      <c r="AY277" s="125">
        <f>AI277*Valores!$C$77</f>
        <v>-1690.4866770000003</v>
      </c>
      <c r="AZ277" s="125">
        <f t="shared" si="49"/>
        <v>534002.9362266668</v>
      </c>
      <c r="BA277" s="125">
        <f>AI277*Valores!$C$79</f>
        <v>90159.28944000002</v>
      </c>
      <c r="BB277" s="125">
        <f>AI277*Valores!$C$80</f>
        <v>39444.68913000001</v>
      </c>
      <c r="BC277" s="125">
        <f>AI277*Valores!$C$81</f>
        <v>5634.955590000001</v>
      </c>
      <c r="BD277" s="125">
        <f>AI277*Valores!$C$83</f>
        <v>19722.344565000007</v>
      </c>
      <c r="BE277" s="125">
        <f>AI277*Valores!$C$85</f>
        <v>30428.760186000007</v>
      </c>
      <c r="BF277" s="125">
        <f>AI277*Valores!$C$84</f>
        <v>3380.9733540000007</v>
      </c>
      <c r="BG277" s="126"/>
      <c r="BH277" s="126">
        <f t="shared" si="43"/>
        <v>26</v>
      </c>
      <c r="BI277" s="123" t="s">
        <v>4</v>
      </c>
    </row>
    <row r="278" spans="1:61" s="110" customFormat="1" ht="11.25" customHeight="1">
      <c r="A278" s="123" t="s">
        <v>466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4"/>
        <v>2054</v>
      </c>
      <c r="F278" s="125">
        <f>ROUND(E278*Valores!$C$2,2)</f>
        <v>170030.12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57857.48</v>
      </c>
      <c r="N278" s="125">
        <f t="shared" si="46"/>
        <v>0</v>
      </c>
      <c r="O278" s="125">
        <f>Valores!$C$7*B278</f>
        <v>72985.90000000001</v>
      </c>
      <c r="P278" s="125">
        <f>ROUND(IF(B278&lt;15,(Valores!$E$5*B278),Valores!$D$5),2)</f>
        <v>42317.14</v>
      </c>
      <c r="Q278" s="125">
        <v>0</v>
      </c>
      <c r="R278" s="125">
        <f>IF($F$4="NO",IF(Valores!$C$50*B278&gt;Valores!$F$47,Valores!$F$47,Valores!$C$50*B278),IF(Valores!$C$50*B278&gt;Valores!$F$47,Valores!$F$47,Valores!$C$50*B278)/2)</f>
        <v>38444.9</v>
      </c>
      <c r="S278" s="125">
        <f>Valores!$C$18*B278</f>
        <v>22954.88</v>
      </c>
      <c r="T278" s="125">
        <f t="shared" si="53"/>
        <v>22954.88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IF(Valores!$C$99*B278&gt;Valores!$C$98,Valores!$C$98,Valores!$C$99*B278)</f>
        <v>70077.02</v>
      </c>
      <c r="AA278" s="125">
        <f>IF((Valores!$C$28)*B278&gt;Valores!$F$28,Valores!$F$28,(Valores!$C$28)*B278)</f>
        <v>1803.36</v>
      </c>
      <c r="AB278" s="214">
        <v>0</v>
      </c>
      <c r="AC278" s="125">
        <f t="shared" si="47"/>
        <v>0</v>
      </c>
      <c r="AD278" s="125">
        <f>IF(Valores!$C$29*B278&gt;Valores!$F$29,Valores!$F$29,Valores!$C$29*B278)</f>
        <v>1501.76</v>
      </c>
      <c r="AE278" s="192">
        <v>94</v>
      </c>
      <c r="AF278" s="125">
        <f>ROUND(AE278*Valores!$C$2,2)</f>
        <v>7781.32</v>
      </c>
      <c r="AG278" s="125">
        <f>IF($F$4="NO",IF(Valores!$D$64*'Escala Docente'!B278&gt;Valores!$F$64,Valores!$F$64,Valores!$D$64*'Escala Docente'!B278),IF(Valores!$D$64*'Escala Docente'!B278&gt;Valores!$F$64,Valores!$F$64,Valores!$D$64*'Escala Docente'!B278)/2)+0.05</f>
        <v>34296.130000000005</v>
      </c>
      <c r="AH278" s="125">
        <f>SUM(F278,H278,J278,L278,M278,N278,O278,P278,Q278,R278,T278,U278,V278,X278,Y278,Z278,AA278,AC278,AD278,AF278,AG278)*Valores!$C$104</f>
        <v>52005.00100000001</v>
      </c>
      <c r="AI278" s="125">
        <f t="shared" si="50"/>
        <v>572055.011</v>
      </c>
      <c r="AJ278" s="125">
        <f>IF(Valores!$C$33*B278&gt;Valores!$F$33,Valores!$F$33,Valores!$C$33*B278)</f>
        <v>60666.66666666658</v>
      </c>
      <c r="AK278" s="125">
        <v>0</v>
      </c>
      <c r="AL278" s="125">
        <f>IF(Valores!$C$92*B278&gt;Valores!$C$91,Valores!$C$91,Valores!$C$92*B278)</f>
        <v>0</v>
      </c>
      <c r="AM278" s="125">
        <f>IF(Valores!C$40*B278&gt;Valores!F$39,Valores!F$39,Valores!C$40*B278)</f>
        <v>0</v>
      </c>
      <c r="AN278" s="125">
        <f>IF($F$3="NO",0,IF(Valores!$C$63*B278&gt;Valores!$F$63,Valores!$F$63,Valores!$C$63*B278))</f>
        <v>0</v>
      </c>
      <c r="AO278" s="125">
        <f t="shared" si="48"/>
        <v>60666.66666666658</v>
      </c>
      <c r="AP278" s="125">
        <f>AI278*Valores!$C$72</f>
        <v>-62926.051210000005</v>
      </c>
      <c r="AQ278" s="125">
        <f>IF(AI278&lt;Valores!$E$73,-0.02,IF(AI278&lt;Valores!$F$73,-0.03,-0.04))*AI278</f>
        <v>-11441.100220000002</v>
      </c>
      <c r="AR278" s="125">
        <f>AI278*Valores!$C$75</f>
        <v>-31463.025605000003</v>
      </c>
      <c r="AS278" s="125">
        <f>Valores!$C$102</f>
        <v>-1270.16</v>
      </c>
      <c r="AT278" s="125">
        <f>IF($F$5=0,Valores!$C$103,(Valores!$C$103+$F$5*(Valores!$C$103)))</f>
        <v>-11714</v>
      </c>
      <c r="AU278" s="125">
        <f t="shared" si="51"/>
        <v>513907.3406316666</v>
      </c>
      <c r="AV278" s="125">
        <f t="shared" si="45"/>
        <v>-62926.051210000005</v>
      </c>
      <c r="AW278" s="125">
        <f t="shared" si="52"/>
        <v>-11441.100220000002</v>
      </c>
      <c r="AX278" s="125">
        <f>AI278*Valores!$C$76</f>
        <v>-15445.485297000001</v>
      </c>
      <c r="AY278" s="125">
        <f>AI278*Valores!$C$77</f>
        <v>-1716.1650330000002</v>
      </c>
      <c r="AZ278" s="125">
        <f t="shared" si="49"/>
        <v>541192.8759066666</v>
      </c>
      <c r="BA278" s="125">
        <f>AI278*Valores!$C$79</f>
        <v>91528.80176000002</v>
      </c>
      <c r="BB278" s="125">
        <f>AI278*Valores!$C$80</f>
        <v>40043.850770000005</v>
      </c>
      <c r="BC278" s="125">
        <f>AI278*Valores!$C$81</f>
        <v>5720.550110000001</v>
      </c>
      <c r="BD278" s="125">
        <f>AI278*Valores!$C$83</f>
        <v>20021.925385000002</v>
      </c>
      <c r="BE278" s="125">
        <f>AI278*Valores!$C$85</f>
        <v>30890.970594000002</v>
      </c>
      <c r="BF278" s="125">
        <f>AI278*Valores!$C$84</f>
        <v>3432.3300660000004</v>
      </c>
      <c r="BG278" s="126"/>
      <c r="BH278" s="126">
        <f t="shared" si="43"/>
        <v>26</v>
      </c>
      <c r="BI278" s="123" t="s">
        <v>4</v>
      </c>
    </row>
    <row r="279" spans="1:61" s="110" customFormat="1" ht="11.25" customHeight="1">
      <c r="A279" s="123" t="s">
        <v>466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4"/>
        <v>2133</v>
      </c>
      <c r="F279" s="125">
        <f>ROUND(E279*Valores!$C$2,2)</f>
        <v>176569.74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60082.76</v>
      </c>
      <c r="N279" s="125">
        <f t="shared" si="46"/>
        <v>0</v>
      </c>
      <c r="O279" s="125">
        <f>Valores!$C$7*B279</f>
        <v>75793.05</v>
      </c>
      <c r="P279" s="125">
        <f>ROUND(IF(B279&lt;15,(Valores!$E$5*B279),Valores!$D$5),2)</f>
        <v>42317.14</v>
      </c>
      <c r="Q279" s="125">
        <v>0</v>
      </c>
      <c r="R279" s="125">
        <f>IF($F$4="NO",IF(Valores!$C$50*B279&gt;Valores!$F$47,Valores!$F$47,Valores!$C$50*B279),IF(Valores!$C$50*B279&gt;Valores!$F$47,Valores!$F$47,Valores!$C$50*B279)/2)</f>
        <v>39923.55</v>
      </c>
      <c r="S279" s="125">
        <f>Valores!$C$18*B279</f>
        <v>23837.76</v>
      </c>
      <c r="T279" s="125">
        <f t="shared" si="53"/>
        <v>23837.76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IF(Valores!$C$99*B279&gt;Valores!$C$98,Valores!$C$98,Valores!$C$99*B279)</f>
        <v>72772.29</v>
      </c>
      <c r="AA279" s="125">
        <f>IF((Valores!$C$28)*B279&gt;Valores!$F$28,Valores!$F$28,(Valores!$C$28)*B279)</f>
        <v>1872.72</v>
      </c>
      <c r="AB279" s="214">
        <v>0</v>
      </c>
      <c r="AC279" s="125">
        <f t="shared" si="47"/>
        <v>0</v>
      </c>
      <c r="AD279" s="125">
        <f>IF(Valores!$C$29*B279&gt;Valores!$F$29,Valores!$F$29,Valores!$C$29*B279)</f>
        <v>1559.52</v>
      </c>
      <c r="AE279" s="192">
        <v>0</v>
      </c>
      <c r="AF279" s="125">
        <f>ROUND(AE279*Valores!$C$2,2)</f>
        <v>0</v>
      </c>
      <c r="AG279" s="125">
        <f>IF($F$4="NO",IF(Valores!$D$64*'Escala Docente'!B279&gt;Valores!$F$64,Valores!$F$64,Valores!$D$64*'Escala Docente'!B279),IF(Valores!$D$64*'Escala Docente'!B279&gt;Valores!$F$64,Valores!$F$64,Valores!$D$64*'Escala Docente'!B279)/2)+0.06</f>
        <v>35615.219999999994</v>
      </c>
      <c r="AH279" s="125">
        <f>SUM(F279,H279,J279,L279,M279,N279,O279,P279,Q279,R279,T279,U279,V279,X279,Y279,Z279,AA279,AC279,AD279,AF279,AG279)*Valores!$C$104</f>
        <v>53034.375</v>
      </c>
      <c r="AI279" s="125">
        <f t="shared" si="50"/>
        <v>583378.125</v>
      </c>
      <c r="AJ279" s="125">
        <f>IF(Valores!$C$33*B279&gt;Valores!$F$33,Valores!$F$33,Valores!$C$33*B279)</f>
        <v>62999.999999999905</v>
      </c>
      <c r="AK279" s="125">
        <v>0</v>
      </c>
      <c r="AL279" s="125">
        <f>IF(Valores!$C$92*B279&gt;Valores!$C$91,Valores!$C$91,Valores!$C$92*B279)</f>
        <v>0</v>
      </c>
      <c r="AM279" s="125">
        <f>IF(Valores!C$40*B279&gt;Valores!F$39,Valores!F$39,Valores!C$40*B279)</f>
        <v>0</v>
      </c>
      <c r="AN279" s="125">
        <f>IF($F$3="NO",0,IF(Valores!$C$63*B279&gt;Valores!$F$63,Valores!$F$63,Valores!$C$63*B279))</f>
        <v>0</v>
      </c>
      <c r="AO279" s="125">
        <f t="shared" si="48"/>
        <v>62999.999999999905</v>
      </c>
      <c r="AP279" s="125">
        <f>AI279*Valores!$C$72</f>
        <v>-64171.59375</v>
      </c>
      <c r="AQ279" s="125">
        <f>IF(AI279&lt;Valores!$E$73,-0.02,IF(AI279&lt;Valores!$F$73,-0.03,-0.04))*AI279</f>
        <v>-11667.5625</v>
      </c>
      <c r="AR279" s="125">
        <f>AI279*Valores!$C$75</f>
        <v>-32085.796875</v>
      </c>
      <c r="AS279" s="125">
        <f>Valores!$C$102</f>
        <v>-1270.16</v>
      </c>
      <c r="AT279" s="125">
        <f>IF($F$5=0,Valores!$C$103,(Valores!$C$103+$F$5*(Valores!$C$103)))</f>
        <v>-11714</v>
      </c>
      <c r="AU279" s="125">
        <f t="shared" si="51"/>
        <v>525469.0118749999</v>
      </c>
      <c r="AV279" s="125">
        <f t="shared" si="45"/>
        <v>-64171.59375</v>
      </c>
      <c r="AW279" s="125">
        <f t="shared" si="52"/>
        <v>-11667.5625</v>
      </c>
      <c r="AX279" s="125">
        <f>AI279*Valores!$C$76</f>
        <v>-15751.209375</v>
      </c>
      <c r="AY279" s="125">
        <f>AI279*Valores!$C$77</f>
        <v>-1750.134375</v>
      </c>
      <c r="AZ279" s="125">
        <f t="shared" si="49"/>
        <v>553037.6249999999</v>
      </c>
      <c r="BA279" s="125">
        <f>AI279*Valores!$C$79</f>
        <v>93340.5</v>
      </c>
      <c r="BB279" s="125">
        <f>AI279*Valores!$C$80</f>
        <v>40836.46875000001</v>
      </c>
      <c r="BC279" s="125">
        <f>AI279*Valores!$C$81</f>
        <v>5833.78125</v>
      </c>
      <c r="BD279" s="125">
        <f>AI279*Valores!$C$83</f>
        <v>20418.234375000004</v>
      </c>
      <c r="BE279" s="125">
        <f>AI279*Valores!$C$85</f>
        <v>31502.41875</v>
      </c>
      <c r="BF279" s="125">
        <f>AI279*Valores!$C$84</f>
        <v>3500.26875</v>
      </c>
      <c r="BG279" s="126"/>
      <c r="BH279" s="126">
        <f t="shared" si="43"/>
        <v>27</v>
      </c>
      <c r="BI279" s="123" t="s">
        <v>8</v>
      </c>
    </row>
    <row r="280" spans="1:61" s="110" customFormat="1" ht="11.25" customHeight="1">
      <c r="A280" s="123" t="s">
        <v>466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4"/>
        <v>2133</v>
      </c>
      <c r="F280" s="125">
        <f>ROUND(E280*Valores!$C$2,2)</f>
        <v>176569.74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60082.76</v>
      </c>
      <c r="N280" s="125">
        <f t="shared" si="46"/>
        <v>0</v>
      </c>
      <c r="O280" s="125">
        <f>Valores!$C$7*B280</f>
        <v>75793.05</v>
      </c>
      <c r="P280" s="125">
        <f>ROUND(IF(B280&lt;15,(Valores!$E$5*B280),Valores!$D$5),2)</f>
        <v>42317.14</v>
      </c>
      <c r="Q280" s="125">
        <v>0</v>
      </c>
      <c r="R280" s="125">
        <f>IF($F$4="NO",IF(Valores!$C$50*B280&gt;Valores!$F$47,Valores!$F$47,Valores!$C$50*B280),IF(Valores!$C$50*B280&gt;Valores!$F$47,Valores!$F$47,Valores!$C$50*B280)/2)</f>
        <v>39923.55</v>
      </c>
      <c r="S280" s="125">
        <f>Valores!$C$18*B280</f>
        <v>23837.76</v>
      </c>
      <c r="T280" s="125">
        <f t="shared" si="53"/>
        <v>23837.76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IF(Valores!$C$99*B280&gt;Valores!$C$98,Valores!$C$98,Valores!$C$99*B280)</f>
        <v>72772.29</v>
      </c>
      <c r="AA280" s="125">
        <f>IF((Valores!$C$28)*B280&gt;Valores!$F$28,Valores!$F$28,(Valores!$C$28)*B280)</f>
        <v>1872.72</v>
      </c>
      <c r="AB280" s="214">
        <v>0</v>
      </c>
      <c r="AC280" s="125">
        <f t="shared" si="47"/>
        <v>0</v>
      </c>
      <c r="AD280" s="125">
        <f>IF(Valores!$C$29*B280&gt;Valores!$F$29,Valores!$F$29,Valores!$C$29*B280)</f>
        <v>1559.52</v>
      </c>
      <c r="AE280" s="192">
        <v>94</v>
      </c>
      <c r="AF280" s="125">
        <f>ROUND(AE280*Valores!$C$2,2)</f>
        <v>7781.32</v>
      </c>
      <c r="AG280" s="125">
        <f>IF($F$4="NO",IF(Valores!$D$64*'Escala Docente'!B280&gt;Valores!$F$64,Valores!$F$64,Valores!$D$64*'Escala Docente'!B280),IF(Valores!$D$64*'Escala Docente'!B280&gt;Valores!$F$64,Valores!$F$64,Valores!$D$64*'Escala Docente'!B280)/2)+0.06</f>
        <v>35615.219999999994</v>
      </c>
      <c r="AH280" s="125">
        <f>SUM(F280,H280,J280,L280,M280,N280,O280,P280,Q280,R280,T280,U280,V280,X280,Y280,Z280,AA280,AC280,AD280,AF280,AG280)*Valores!$C$104</f>
        <v>53812.507</v>
      </c>
      <c r="AI280" s="125">
        <f t="shared" si="50"/>
        <v>591937.5769999999</v>
      </c>
      <c r="AJ280" s="125">
        <f>IF(Valores!$C$33*B280&gt;Valores!$F$33,Valores!$F$33,Valores!$C$33*B280)</f>
        <v>62999.999999999905</v>
      </c>
      <c r="AK280" s="125">
        <v>0</v>
      </c>
      <c r="AL280" s="125">
        <f>IF(Valores!$C$92*B280&gt;Valores!$C$91,Valores!$C$91,Valores!$C$92*B280)</f>
        <v>0</v>
      </c>
      <c r="AM280" s="125">
        <f>IF(Valores!C$40*B280&gt;Valores!F$39,Valores!F$39,Valores!C$40*B280)</f>
        <v>0</v>
      </c>
      <c r="AN280" s="125">
        <f>IF($F$3="NO",0,IF(Valores!$C$63*B280&gt;Valores!$F$63,Valores!$F$63,Valores!$C$63*B280))</f>
        <v>0</v>
      </c>
      <c r="AO280" s="125">
        <f t="shared" si="48"/>
        <v>62999.999999999905</v>
      </c>
      <c r="AP280" s="125">
        <f>AI280*Valores!$C$72</f>
        <v>-65113.13346999999</v>
      </c>
      <c r="AQ280" s="125">
        <f>IF(AI280&lt;Valores!$E$73,-0.02,IF(AI280&lt;Valores!$F$73,-0.03,-0.04))*AI280</f>
        <v>-11838.75154</v>
      </c>
      <c r="AR280" s="125">
        <f>AI280*Valores!$C$75</f>
        <v>-32556.566734999997</v>
      </c>
      <c r="AS280" s="125">
        <f>Valores!$C$102</f>
        <v>-1270.16</v>
      </c>
      <c r="AT280" s="125">
        <f>IF($F$5=0,Valores!$C$103,(Valores!$C$103+$F$5*(Valores!$C$103)))</f>
        <v>-11714</v>
      </c>
      <c r="AU280" s="125">
        <f t="shared" si="51"/>
        <v>532444.9652549998</v>
      </c>
      <c r="AV280" s="125">
        <f t="shared" si="45"/>
        <v>-65113.13346999999</v>
      </c>
      <c r="AW280" s="125">
        <f t="shared" si="52"/>
        <v>-11838.75154</v>
      </c>
      <c r="AX280" s="125">
        <f>AI280*Valores!$C$76</f>
        <v>-15982.314578999998</v>
      </c>
      <c r="AY280" s="125">
        <f>AI280*Valores!$C$77</f>
        <v>-1775.8127309999998</v>
      </c>
      <c r="AZ280" s="125">
        <f t="shared" si="49"/>
        <v>560227.5646799998</v>
      </c>
      <c r="BA280" s="125">
        <f>AI280*Valores!$C$79</f>
        <v>94710.01232</v>
      </c>
      <c r="BB280" s="125">
        <f>AI280*Valores!$C$80</f>
        <v>41435.63039</v>
      </c>
      <c r="BC280" s="125">
        <f>AI280*Valores!$C$81</f>
        <v>5919.37577</v>
      </c>
      <c r="BD280" s="125">
        <f>AI280*Valores!$C$83</f>
        <v>20717.815195</v>
      </c>
      <c r="BE280" s="125">
        <f>AI280*Valores!$C$85</f>
        <v>31964.629157999996</v>
      </c>
      <c r="BF280" s="125">
        <f>AI280*Valores!$C$84</f>
        <v>3551.6254619999995</v>
      </c>
      <c r="BG280" s="126"/>
      <c r="BH280" s="126">
        <f t="shared" si="43"/>
        <v>27</v>
      </c>
      <c r="BI280" s="123" t="s">
        <v>8</v>
      </c>
    </row>
    <row r="281" spans="1:61" s="110" customFormat="1" ht="11.25" customHeight="1">
      <c r="A281" s="123" t="s">
        <v>466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4"/>
        <v>2212</v>
      </c>
      <c r="F281" s="125">
        <f>ROUND(E281*Valores!$C$2,2)</f>
        <v>183109.36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62308.05</v>
      </c>
      <c r="N281" s="125">
        <f t="shared" si="46"/>
        <v>0</v>
      </c>
      <c r="O281" s="125">
        <f>Valores!$C$7*B281</f>
        <v>78600.2</v>
      </c>
      <c r="P281" s="125">
        <f>ROUND(IF(B281&lt;15,(Valores!$E$5*B281),Valores!$D$5),2)</f>
        <v>42317.14</v>
      </c>
      <c r="Q281" s="125">
        <v>0</v>
      </c>
      <c r="R281" s="125">
        <f>IF($F$4="NO",IF(Valores!$C$50*B281&gt;Valores!$F$47,Valores!$F$47,Valores!$C$50*B281),IF(Valores!$C$50*B281&gt;Valores!$F$47,Valores!$F$47,Valores!$C$50*B281)/2)</f>
        <v>41402.200000000004</v>
      </c>
      <c r="S281" s="125">
        <f>Valores!$C$18*B281</f>
        <v>24720.64</v>
      </c>
      <c r="T281" s="125">
        <f t="shared" si="53"/>
        <v>24720.64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IF(Valores!$C$99*B281&gt;Valores!$C$98,Valores!$C$98,Valores!$C$99*B281)</f>
        <v>75467.56</v>
      </c>
      <c r="AA281" s="125">
        <f>IF((Valores!$C$28)*B281&gt;Valores!$F$28,Valores!$F$28,(Valores!$C$28)*B281)</f>
        <v>1942.08</v>
      </c>
      <c r="AB281" s="214">
        <v>0</v>
      </c>
      <c r="AC281" s="125">
        <f t="shared" si="47"/>
        <v>0</v>
      </c>
      <c r="AD281" s="125">
        <f>IF(Valores!$C$29*B281&gt;Valores!$F$29,Valores!$F$29,Valores!$C$29*B281)</f>
        <v>1617.28</v>
      </c>
      <c r="AE281" s="192">
        <v>0</v>
      </c>
      <c r="AF281" s="125">
        <f>ROUND(AE281*Valores!$C$2,2)</f>
        <v>0</v>
      </c>
      <c r="AG281" s="125">
        <f>IF($F$4="NO",IF(Valores!$D$64*'Escala Docente'!B281&gt;Valores!$F$64,Valores!$F$64,Valores!$D$64*'Escala Docente'!B281),IF(Valores!$D$64*'Escala Docente'!B281&gt;Valores!$F$64,Valores!$F$64,Valores!$D$64*'Escala Docente'!B281)/2)+0.06</f>
        <v>36934.299999999996</v>
      </c>
      <c r="AH281" s="125">
        <f>SUM(F281,H281,J281,L281,M281,N281,O281,P281,Q281,R281,T281,U281,V281,X281,Y281,Z281,AA281,AC281,AD281,AF281,AG281)*Valores!$C$104</f>
        <v>54841.88100000001</v>
      </c>
      <c r="AI281" s="125">
        <f t="shared" si="50"/>
        <v>603260.6910000001</v>
      </c>
      <c r="AJ281" s="125">
        <f>IF(Valores!$C$33*B281&gt;Valores!$F$33,Valores!$F$33,Valores!$C$33*B281)</f>
        <v>65333.333333333234</v>
      </c>
      <c r="AK281" s="125">
        <v>0</v>
      </c>
      <c r="AL281" s="125">
        <f>IF(Valores!$C$92*B281&gt;Valores!$C$91,Valores!$C$91,Valores!$C$92*B281)</f>
        <v>0</v>
      </c>
      <c r="AM281" s="125">
        <f>IF(Valores!C$40*B281&gt;Valores!F$39,Valores!F$39,Valores!C$40*B281)</f>
        <v>0</v>
      </c>
      <c r="AN281" s="125">
        <f>IF($F$3="NO",0,IF(Valores!$C$63*B281&gt;Valores!$F$63,Valores!$F$63,Valores!$C$63*B281))</f>
        <v>0</v>
      </c>
      <c r="AO281" s="125">
        <f t="shared" si="48"/>
        <v>65333.333333333234</v>
      </c>
      <c r="AP281" s="125">
        <f>AI281*Valores!$C$72</f>
        <v>-66358.67601000001</v>
      </c>
      <c r="AQ281" s="125">
        <f>IF(AI281&lt;Valores!$E$73,-0.02,IF(AI281&lt;Valores!$F$73,-0.03,-0.04))*AI281</f>
        <v>-12065.213820000003</v>
      </c>
      <c r="AR281" s="125">
        <f>AI281*Valores!$C$75</f>
        <v>-33179.338005000005</v>
      </c>
      <c r="AS281" s="125">
        <f>Valores!$C$102</f>
        <v>-1270.16</v>
      </c>
      <c r="AT281" s="125">
        <f>IF($F$5=0,Valores!$C$103,(Valores!$C$103+$F$5*(Valores!$C$103)))</f>
        <v>-11714</v>
      </c>
      <c r="AU281" s="125">
        <f t="shared" si="51"/>
        <v>544006.6364983333</v>
      </c>
      <c r="AV281" s="125">
        <f t="shared" si="45"/>
        <v>-66358.67601000001</v>
      </c>
      <c r="AW281" s="125">
        <f t="shared" si="52"/>
        <v>-12065.213820000003</v>
      </c>
      <c r="AX281" s="125">
        <f>AI281*Valores!$C$76</f>
        <v>-16288.038657000003</v>
      </c>
      <c r="AY281" s="125">
        <f>AI281*Valores!$C$77</f>
        <v>-1809.7820730000003</v>
      </c>
      <c r="AZ281" s="125">
        <f t="shared" si="49"/>
        <v>572072.3137733333</v>
      </c>
      <c r="BA281" s="125">
        <f>AI281*Valores!$C$79</f>
        <v>96521.71056000002</v>
      </c>
      <c r="BB281" s="125">
        <f>AI281*Valores!$C$80</f>
        <v>42228.24837000001</v>
      </c>
      <c r="BC281" s="125">
        <f>AI281*Valores!$C$81</f>
        <v>6032.606910000001</v>
      </c>
      <c r="BD281" s="125">
        <f>AI281*Valores!$C$83</f>
        <v>21114.124185000004</v>
      </c>
      <c r="BE281" s="125">
        <f>AI281*Valores!$C$85</f>
        <v>32576.077314000006</v>
      </c>
      <c r="BF281" s="125">
        <f>AI281*Valores!$C$84</f>
        <v>3619.5641460000006</v>
      </c>
      <c r="BG281" s="126"/>
      <c r="BH281" s="126">
        <f t="shared" si="43"/>
        <v>28</v>
      </c>
      <c r="BI281" s="123" t="s">
        <v>4</v>
      </c>
    </row>
    <row r="282" spans="1:61" s="110" customFormat="1" ht="11.25" customHeight="1">
      <c r="A282" s="123" t="s">
        <v>466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4"/>
        <v>2212</v>
      </c>
      <c r="F282" s="125">
        <f>ROUND(E282*Valores!$C$2,2)</f>
        <v>183109.36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62308.05</v>
      </c>
      <c r="N282" s="125">
        <f t="shared" si="46"/>
        <v>0</v>
      </c>
      <c r="O282" s="125">
        <f>Valores!$C$7*B282</f>
        <v>78600.2</v>
      </c>
      <c r="P282" s="125">
        <f>ROUND(IF(B282&lt;15,(Valores!$E$5*B282),Valores!$D$5),2)</f>
        <v>42317.14</v>
      </c>
      <c r="Q282" s="125">
        <v>0</v>
      </c>
      <c r="R282" s="125">
        <f>IF($F$4="NO",IF(Valores!$C$50*B282&gt;Valores!$F$47,Valores!$F$47,Valores!$C$50*B282),IF(Valores!$C$50*B282&gt;Valores!$F$47,Valores!$F$47,Valores!$C$50*B282)/2)</f>
        <v>41402.200000000004</v>
      </c>
      <c r="S282" s="125">
        <f>Valores!$C$18*B282</f>
        <v>24720.64</v>
      </c>
      <c r="T282" s="125">
        <f t="shared" si="53"/>
        <v>24720.64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IF(Valores!$C$99*B282&gt;Valores!$C$98,Valores!$C$98,Valores!$C$99*B282)</f>
        <v>75467.56</v>
      </c>
      <c r="AA282" s="125">
        <f>IF((Valores!$C$28)*B282&gt;Valores!$F$28,Valores!$F$28,(Valores!$C$28)*B282)</f>
        <v>1942.08</v>
      </c>
      <c r="AB282" s="214">
        <v>0</v>
      </c>
      <c r="AC282" s="125">
        <f t="shared" si="47"/>
        <v>0</v>
      </c>
      <c r="AD282" s="125">
        <f>IF(Valores!$C$29*B282&gt;Valores!$F$29,Valores!$F$29,Valores!$C$29*B282)</f>
        <v>1617.28</v>
      </c>
      <c r="AE282" s="192">
        <v>94</v>
      </c>
      <c r="AF282" s="125">
        <f>ROUND(AE282*Valores!$C$2,2)</f>
        <v>7781.32</v>
      </c>
      <c r="AG282" s="125">
        <f>IF($F$4="NO",IF(Valores!$D$64*'Escala Docente'!B282&gt;Valores!$F$64,Valores!$F$64,Valores!$D$64*'Escala Docente'!B282),IF(Valores!$D$64*'Escala Docente'!B282&gt;Valores!$F$64,Valores!$F$64,Valores!$D$64*'Escala Docente'!B282)/2)+0.06</f>
        <v>36934.299999999996</v>
      </c>
      <c r="AH282" s="125">
        <f>SUM(F282,H282,J282,L282,M282,N282,O282,P282,Q282,R282,T282,U282,V282,X282,Y282,Z282,AA282,AC282,AD282,AF282,AG282)*Valores!$C$104</f>
        <v>55620.01300000001</v>
      </c>
      <c r="AI282" s="125">
        <f t="shared" si="50"/>
        <v>611820.1430000002</v>
      </c>
      <c r="AJ282" s="125">
        <f>IF(Valores!$C$33*B282&gt;Valores!$F$33,Valores!$F$33,Valores!$C$33*B282)</f>
        <v>65333.333333333234</v>
      </c>
      <c r="AK282" s="125">
        <v>0</v>
      </c>
      <c r="AL282" s="125">
        <f>IF(Valores!$C$92*B282&gt;Valores!$C$91,Valores!$C$91,Valores!$C$92*B282)</f>
        <v>0</v>
      </c>
      <c r="AM282" s="125">
        <f>IF(Valores!C$40*B282&gt;Valores!F$39,Valores!F$39,Valores!C$40*B282)</f>
        <v>0</v>
      </c>
      <c r="AN282" s="125">
        <f>IF($F$3="NO",0,IF(Valores!$C$63*B282&gt;Valores!$F$63,Valores!$F$63,Valores!$C$63*B282))</f>
        <v>0</v>
      </c>
      <c r="AO282" s="125">
        <f t="shared" si="48"/>
        <v>65333.333333333234</v>
      </c>
      <c r="AP282" s="125">
        <f>AI282*Valores!$C$72</f>
        <v>-67300.21573000001</v>
      </c>
      <c r="AQ282" s="125">
        <f>IF(AI282&lt;Valores!$E$73,-0.02,IF(AI282&lt;Valores!$F$73,-0.03,-0.04))*AI282</f>
        <v>-12236.402860000004</v>
      </c>
      <c r="AR282" s="125">
        <f>AI282*Valores!$C$75</f>
        <v>-33650.107865000005</v>
      </c>
      <c r="AS282" s="125">
        <f>Valores!$C$102</f>
        <v>-1270.16</v>
      </c>
      <c r="AT282" s="125">
        <f>IF($F$5=0,Valores!$C$103,(Valores!$C$103+$F$5*(Valores!$C$103)))</f>
        <v>-11714</v>
      </c>
      <c r="AU282" s="125">
        <f t="shared" si="51"/>
        <v>550982.5898783334</v>
      </c>
      <c r="AV282" s="125">
        <f t="shared" si="45"/>
        <v>-67300.21573000001</v>
      </c>
      <c r="AW282" s="125">
        <f t="shared" si="52"/>
        <v>-12236.402860000004</v>
      </c>
      <c r="AX282" s="125">
        <f>AI282*Valores!$C$76</f>
        <v>-16519.143861000004</v>
      </c>
      <c r="AY282" s="125">
        <f>AI282*Valores!$C$77</f>
        <v>-1835.4604290000004</v>
      </c>
      <c r="AZ282" s="125">
        <f t="shared" si="49"/>
        <v>579262.2534533334</v>
      </c>
      <c r="BA282" s="125">
        <f>AI282*Valores!$C$79</f>
        <v>97891.22288000003</v>
      </c>
      <c r="BB282" s="125">
        <f>AI282*Valores!$C$80</f>
        <v>42827.410010000014</v>
      </c>
      <c r="BC282" s="125">
        <f>AI282*Valores!$C$81</f>
        <v>6118.201430000002</v>
      </c>
      <c r="BD282" s="125">
        <f>AI282*Valores!$C$83</f>
        <v>21413.705005000007</v>
      </c>
      <c r="BE282" s="125">
        <f>AI282*Valores!$C$85</f>
        <v>33038.28772200001</v>
      </c>
      <c r="BF282" s="125">
        <f>AI282*Valores!$C$84</f>
        <v>3670.920858000001</v>
      </c>
      <c r="BG282" s="126"/>
      <c r="BH282" s="126">
        <f t="shared" si="43"/>
        <v>28</v>
      </c>
      <c r="BI282" s="123" t="s">
        <v>4</v>
      </c>
    </row>
    <row r="283" spans="1:61" s="110" customFormat="1" ht="11.25" customHeight="1">
      <c r="A283" s="123" t="s">
        <v>466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4"/>
        <v>2291</v>
      </c>
      <c r="F283" s="125">
        <f>ROUND(E283*Valores!$C$2,2)</f>
        <v>189648.98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64533.34</v>
      </c>
      <c r="N283" s="125">
        <f t="shared" si="46"/>
        <v>0</v>
      </c>
      <c r="O283" s="125">
        <f>Valores!$C$7*B283</f>
        <v>81407.35</v>
      </c>
      <c r="P283" s="125">
        <f>ROUND(IF(B283&lt;15,(Valores!$E$5*B283),Valores!$D$5),2)</f>
        <v>42317.14</v>
      </c>
      <c r="Q283" s="125">
        <v>0</v>
      </c>
      <c r="R283" s="125">
        <f>IF($F$4="NO",IF(Valores!$C$50*B283&gt;Valores!$F$47,Valores!$F$47,Valores!$C$50*B283),IF(Valores!$C$50*B283&gt;Valores!$F$47,Valores!$F$47,Valores!$C$50*B283)/2)</f>
        <v>42880.850000000006</v>
      </c>
      <c r="S283" s="125">
        <f>Valores!$C$18*B283</f>
        <v>25603.52</v>
      </c>
      <c r="T283" s="125">
        <f t="shared" si="53"/>
        <v>25603.52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IF(Valores!$C$99*B283&gt;Valores!$C$98,Valores!$C$98,Valores!$C$99*B283)</f>
        <v>78162.83</v>
      </c>
      <c r="AA283" s="125">
        <f>IF((Valores!$C$28)*B283&gt;Valores!$F$28,Valores!$F$28,(Valores!$C$28)*B283)</f>
        <v>2011.44</v>
      </c>
      <c r="AB283" s="214">
        <v>0</v>
      </c>
      <c r="AC283" s="125">
        <f t="shared" si="47"/>
        <v>0</v>
      </c>
      <c r="AD283" s="125">
        <f>IF(Valores!$C$29*B283&gt;Valores!$F$29,Valores!$F$29,Valores!$C$29*B283)</f>
        <v>1675.04</v>
      </c>
      <c r="AE283" s="192">
        <v>0</v>
      </c>
      <c r="AF283" s="125">
        <f>ROUND(AE283*Valores!$C$2,2)</f>
        <v>0</v>
      </c>
      <c r="AG283" s="125">
        <f>IF($F$4="NO",IF(Valores!$D$64*'Escala Docente'!B283&gt;Valores!$F$64,Valores!$F$64,Valores!$D$64*'Escala Docente'!B283),IF(Valores!$D$64*'Escala Docente'!B283&gt;Valores!$F$64,Valores!$F$64,Valores!$D$64*'Escala Docente'!B283)/2)+0.06</f>
        <v>38253.38</v>
      </c>
      <c r="AH283" s="125">
        <f>SUM(F283,H283,J283,L283,M283,N283,O283,P283,Q283,R283,T283,U283,V283,X283,Y283,Z283,AA283,AC283,AD283,AF283,AG283)*Valores!$C$104</f>
        <v>56649.387</v>
      </c>
      <c r="AI283" s="125">
        <f t="shared" si="50"/>
        <v>623143.257</v>
      </c>
      <c r="AJ283" s="125">
        <f>IF(Valores!$C$33*B283&gt;Valores!$F$33,Valores!$F$33,Valores!$C$33*B283)</f>
        <v>67666.66666666657</v>
      </c>
      <c r="AK283" s="125">
        <v>0</v>
      </c>
      <c r="AL283" s="125">
        <f>IF(Valores!$C$92*B283&gt;Valores!$C$91,Valores!$C$91,Valores!$C$92*B283)</f>
        <v>0</v>
      </c>
      <c r="AM283" s="125">
        <f>IF(Valores!C$40*B283&gt;Valores!F$39,Valores!F$39,Valores!C$40*B283)</f>
        <v>0</v>
      </c>
      <c r="AN283" s="125">
        <f>IF($F$3="NO",0,IF(Valores!$C$63*B283&gt;Valores!$F$63,Valores!$F$63,Valores!$C$63*B283))</f>
        <v>0</v>
      </c>
      <c r="AO283" s="125">
        <f t="shared" si="48"/>
        <v>67666.66666666657</v>
      </c>
      <c r="AP283" s="125">
        <f>AI283*Valores!$C$72</f>
        <v>-68545.75827</v>
      </c>
      <c r="AQ283" s="125">
        <f>IF(AI283&lt;Valores!$E$73,-0.02,IF(AI283&lt;Valores!$F$73,-0.03,-0.04))*AI283</f>
        <v>-12462.86514</v>
      </c>
      <c r="AR283" s="125">
        <f>AI283*Valores!$C$75</f>
        <v>-34272.879135</v>
      </c>
      <c r="AS283" s="125">
        <f>Valores!$C$102</f>
        <v>-1270.16</v>
      </c>
      <c r="AT283" s="125">
        <f>IF($F$5=0,Valores!$C$103,(Valores!$C$103+$F$5*(Valores!$C$103)))</f>
        <v>-11714</v>
      </c>
      <c r="AU283" s="125">
        <f t="shared" si="51"/>
        <v>562544.2611216665</v>
      </c>
      <c r="AV283" s="125">
        <f t="shared" si="45"/>
        <v>-68545.75827</v>
      </c>
      <c r="AW283" s="125">
        <f t="shared" si="52"/>
        <v>-12462.86514</v>
      </c>
      <c r="AX283" s="125">
        <f>AI283*Valores!$C$76</f>
        <v>-16824.867939</v>
      </c>
      <c r="AY283" s="125">
        <f>AI283*Valores!$C$77</f>
        <v>-1869.429771</v>
      </c>
      <c r="AZ283" s="125">
        <f t="shared" si="49"/>
        <v>591107.0025466665</v>
      </c>
      <c r="BA283" s="125">
        <f>AI283*Valores!$C$79</f>
        <v>99702.92112</v>
      </c>
      <c r="BB283" s="125">
        <f>AI283*Valores!$C$80</f>
        <v>43620.02799</v>
      </c>
      <c r="BC283" s="125">
        <f>AI283*Valores!$C$81</f>
        <v>6231.43257</v>
      </c>
      <c r="BD283" s="125">
        <f>AI283*Valores!$C$83</f>
        <v>21810.013995</v>
      </c>
      <c r="BE283" s="125">
        <f>AI283*Valores!$C$85</f>
        <v>33649.735878</v>
      </c>
      <c r="BF283" s="125">
        <f>AI283*Valores!$C$84</f>
        <v>3738.859542</v>
      </c>
      <c r="BG283" s="126"/>
      <c r="BH283" s="126">
        <f t="shared" si="43"/>
        <v>29</v>
      </c>
      <c r="BI283" s="123" t="s">
        <v>8</v>
      </c>
    </row>
    <row r="284" spans="1:61" s="110" customFormat="1" ht="11.25" customHeight="1">
      <c r="A284" s="123" t="s">
        <v>466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4"/>
        <v>2291</v>
      </c>
      <c r="F284" s="125">
        <f>ROUND(E284*Valores!$C$2,2)</f>
        <v>189648.98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64533.34</v>
      </c>
      <c r="N284" s="125">
        <f t="shared" si="46"/>
        <v>0</v>
      </c>
      <c r="O284" s="125">
        <f>Valores!$C$7*B284</f>
        <v>81407.35</v>
      </c>
      <c r="P284" s="125">
        <f>ROUND(IF(B284&lt;15,(Valores!$E$5*B284),Valores!$D$5),2)</f>
        <v>42317.14</v>
      </c>
      <c r="Q284" s="125">
        <v>0</v>
      </c>
      <c r="R284" s="125">
        <f>IF($F$4="NO",IF(Valores!$C$50*B284&gt;Valores!$F$47,Valores!$F$47,Valores!$C$50*B284),IF(Valores!$C$50*B284&gt;Valores!$F$47,Valores!$F$47,Valores!$C$50*B284)/2)</f>
        <v>42880.850000000006</v>
      </c>
      <c r="S284" s="125">
        <f>Valores!$C$18*B284</f>
        <v>25603.52</v>
      </c>
      <c r="T284" s="125">
        <f t="shared" si="53"/>
        <v>25603.52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IF(Valores!$C$99*B284&gt;Valores!$C$98,Valores!$C$98,Valores!$C$99*B284)</f>
        <v>78162.83</v>
      </c>
      <c r="AA284" s="125">
        <f>IF((Valores!$C$28)*B284&gt;Valores!$F$28,Valores!$F$28,(Valores!$C$28)*B284)</f>
        <v>2011.44</v>
      </c>
      <c r="AB284" s="214">
        <v>0</v>
      </c>
      <c r="AC284" s="125">
        <f t="shared" si="47"/>
        <v>0</v>
      </c>
      <c r="AD284" s="125">
        <f>IF(Valores!$C$29*B284&gt;Valores!$F$29,Valores!$F$29,Valores!$C$29*B284)</f>
        <v>1675.04</v>
      </c>
      <c r="AE284" s="192">
        <v>94</v>
      </c>
      <c r="AF284" s="125">
        <f>ROUND(AE284*Valores!$C$2,2)</f>
        <v>7781.32</v>
      </c>
      <c r="AG284" s="125">
        <f>IF($F$4="NO",IF(Valores!$D$64*'Escala Docente'!B284&gt;Valores!$F$64,Valores!$F$64,Valores!$D$64*'Escala Docente'!B284),IF(Valores!$D$64*'Escala Docente'!B284&gt;Valores!$F$64,Valores!$F$64,Valores!$D$64*'Escala Docente'!B284)/2)+0.06</f>
        <v>38253.38</v>
      </c>
      <c r="AH284" s="125">
        <f>SUM(F284,H284,J284,L284,M284,N284,O284,P284,Q284,R284,T284,U284,V284,X284,Y284,Z284,AA284,AC284,AD284,AF284,AG284)*Valores!$C$104</f>
        <v>57427.519</v>
      </c>
      <c r="AI284" s="125">
        <f t="shared" si="50"/>
        <v>631702.7089999999</v>
      </c>
      <c r="AJ284" s="125">
        <f>IF(Valores!$C$33*B284&gt;Valores!$F$33,Valores!$F$33,Valores!$C$33*B284)</f>
        <v>67666.66666666657</v>
      </c>
      <c r="AK284" s="125">
        <v>0</v>
      </c>
      <c r="AL284" s="125">
        <f>IF(Valores!$C$92*B284&gt;Valores!$C$91,Valores!$C$91,Valores!$C$92*B284)</f>
        <v>0</v>
      </c>
      <c r="AM284" s="125">
        <f>IF(Valores!C$40*B284&gt;Valores!F$39,Valores!F$39,Valores!C$40*B284)</f>
        <v>0</v>
      </c>
      <c r="AN284" s="125">
        <f>IF($F$3="NO",0,IF(Valores!$C$63*B284&gt;Valores!$F$63,Valores!$F$63,Valores!$C$63*B284))</f>
        <v>0</v>
      </c>
      <c r="AO284" s="125">
        <f t="shared" si="48"/>
        <v>67666.66666666657</v>
      </c>
      <c r="AP284" s="125">
        <f>AI284*Valores!$C$72</f>
        <v>-69487.29798999999</v>
      </c>
      <c r="AQ284" s="125">
        <f>IF(AI284&lt;Valores!$E$73,-0.02,IF(AI284&lt;Valores!$F$73,-0.03,-0.04))*AI284</f>
        <v>-12634.05418</v>
      </c>
      <c r="AR284" s="125">
        <f>AI284*Valores!$C$75</f>
        <v>-34743.648994999996</v>
      </c>
      <c r="AS284" s="125">
        <f>Valores!$C$102</f>
        <v>-1270.16</v>
      </c>
      <c r="AT284" s="125">
        <f>IF($F$5=0,Valores!$C$103,(Valores!$C$103+$F$5*(Valores!$C$103)))</f>
        <v>-11714</v>
      </c>
      <c r="AU284" s="125">
        <f t="shared" si="51"/>
        <v>569520.2145016665</v>
      </c>
      <c r="AV284" s="125">
        <f t="shared" si="45"/>
        <v>-69487.29798999999</v>
      </c>
      <c r="AW284" s="125">
        <f t="shared" si="52"/>
        <v>-12634.05418</v>
      </c>
      <c r="AX284" s="125">
        <f>AI284*Valores!$C$76</f>
        <v>-17055.973143</v>
      </c>
      <c r="AY284" s="125">
        <f>AI284*Valores!$C$77</f>
        <v>-1895.1081269999997</v>
      </c>
      <c r="AZ284" s="125">
        <f t="shared" si="49"/>
        <v>598296.9422266665</v>
      </c>
      <c r="BA284" s="125">
        <f>AI284*Valores!$C$79</f>
        <v>101072.43344</v>
      </c>
      <c r="BB284" s="125">
        <f>AI284*Valores!$C$80</f>
        <v>44219.18963</v>
      </c>
      <c r="BC284" s="125">
        <f>AI284*Valores!$C$81</f>
        <v>6317.02709</v>
      </c>
      <c r="BD284" s="125">
        <f>AI284*Valores!$C$83</f>
        <v>22109.594815</v>
      </c>
      <c r="BE284" s="125">
        <f>AI284*Valores!$C$85</f>
        <v>34111.946286</v>
      </c>
      <c r="BF284" s="125">
        <f>AI284*Valores!$C$84</f>
        <v>3790.2162539999995</v>
      </c>
      <c r="BG284" s="126"/>
      <c r="BH284" s="126">
        <f t="shared" si="43"/>
        <v>29</v>
      </c>
      <c r="BI284" s="123" t="s">
        <v>8</v>
      </c>
    </row>
    <row r="285" spans="1:61" s="110" customFormat="1" ht="11.25" customHeight="1">
      <c r="A285" s="123" t="s">
        <v>466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4"/>
        <v>2370</v>
      </c>
      <c r="F285" s="125">
        <f>ROUND(E285*Valores!$C$2,2)</f>
        <v>196188.6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66758.63</v>
      </c>
      <c r="N285" s="125">
        <f t="shared" si="46"/>
        <v>0</v>
      </c>
      <c r="O285" s="125">
        <f>Valores!$C$7*B285</f>
        <v>84214.5</v>
      </c>
      <c r="P285" s="125">
        <f>ROUND(IF(B285&lt;15,(Valores!$E$5*B285),Valores!$D$5),2)</f>
        <v>42317.14</v>
      </c>
      <c r="Q285" s="125">
        <v>0</v>
      </c>
      <c r="R285" s="125">
        <f>IF($F$4="NO",IF(Valores!$C$50*B285&gt;Valores!$F$47,Valores!$F$47,Valores!$C$50*B285),IF(Valores!$C$50*B285&gt;Valores!$F$47,Valores!$F$47,Valores!$C$50*B285)/2)</f>
        <v>44359.5</v>
      </c>
      <c r="S285" s="125">
        <f>Valores!$C$18*B285</f>
        <v>26486.4</v>
      </c>
      <c r="T285" s="125">
        <f t="shared" si="53"/>
        <v>26486.4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IF(Valores!$C$99*B285&gt;Valores!$C$98,Valores!$C$98,Valores!$C$99*B285)</f>
        <v>80858.1</v>
      </c>
      <c r="AA285" s="125">
        <f>IF((Valores!$C$28)*B285&gt;Valores!$F$28,Valores!$F$28,(Valores!$C$28)*B285)</f>
        <v>2080.8</v>
      </c>
      <c r="AB285" s="214">
        <v>0</v>
      </c>
      <c r="AC285" s="125">
        <f t="shared" si="47"/>
        <v>0</v>
      </c>
      <c r="AD285" s="125">
        <f>IF(Valores!$C$29*B285&gt;Valores!$F$29,Valores!$F$29,Valores!$C$29*B285)</f>
        <v>1730.69</v>
      </c>
      <c r="AE285" s="192">
        <v>0</v>
      </c>
      <c r="AF285" s="125">
        <f>ROUND(AE285*Valores!$C$2,2)</f>
        <v>0</v>
      </c>
      <c r="AG285" s="125">
        <f>IF($F$4="NO",IF(Valores!$D$64*'Escala Docente'!B285&gt;Valores!$F$64,Valores!$F$64,Valores!$D$64*'Escala Docente'!B285),IF(Valores!$D$64*'Escala Docente'!B285&gt;Valores!$F$64,Valores!$F$64,Valores!$D$64*'Escala Docente'!B285)/2)+0.06</f>
        <v>39572.45999999999</v>
      </c>
      <c r="AH285" s="125">
        <f>SUM(F285,H285,J285,L285,M285,N285,O285,P285,Q285,R285,T285,U285,V285,X285,Y285,Z285,AA285,AC285,AD285,AF285,AG285)*Valores!$C$104</f>
        <v>58456.682</v>
      </c>
      <c r="AI285" s="125">
        <f t="shared" si="50"/>
        <v>643023.502</v>
      </c>
      <c r="AJ285" s="125">
        <f>IF(Valores!$C$33*B285&gt;Valores!$F$33,Valores!$F$33,Valores!$C$33*B285)</f>
        <v>69999.9999999999</v>
      </c>
      <c r="AK285" s="125">
        <v>0</v>
      </c>
      <c r="AL285" s="125">
        <f>IF(Valores!$C$92*B285&gt;Valores!$C$91,Valores!$C$91,Valores!$C$92*B285)</f>
        <v>0</v>
      </c>
      <c r="AM285" s="125">
        <f>IF(Valores!C$40*B285&gt;Valores!F$39,Valores!F$39,Valores!C$40*B285)</f>
        <v>0</v>
      </c>
      <c r="AN285" s="125">
        <f>IF($F$3="NO",0,IF(Valores!$C$63*B285&gt;Valores!$F$63,Valores!$F$63,Valores!$C$63*B285))</f>
        <v>0</v>
      </c>
      <c r="AO285" s="125">
        <f t="shared" si="48"/>
        <v>69999.9999999999</v>
      </c>
      <c r="AP285" s="125">
        <f>AI285*Valores!$C$72</f>
        <v>-70732.58522</v>
      </c>
      <c r="AQ285" s="125">
        <f>IF(AI285&lt;Valores!$E$73,-0.02,IF(AI285&lt;Valores!$F$73,-0.03,-0.04))*AI285</f>
        <v>-12860.47004</v>
      </c>
      <c r="AR285" s="125">
        <f>AI285*Valores!$C$75</f>
        <v>-35366.29261</v>
      </c>
      <c r="AS285" s="125">
        <f>Valores!$C$102</f>
        <v>-1270.16</v>
      </c>
      <c r="AT285" s="125">
        <f>IF($F$5=0,Valores!$C$103,(Valores!$C$103+$F$5*(Valores!$C$103)))</f>
        <v>-11714</v>
      </c>
      <c r="AU285" s="125">
        <f t="shared" si="51"/>
        <v>581079.9941299999</v>
      </c>
      <c r="AV285" s="125">
        <f t="shared" si="45"/>
        <v>-70732.58522</v>
      </c>
      <c r="AW285" s="125">
        <f t="shared" si="52"/>
        <v>-12860.47004</v>
      </c>
      <c r="AX285" s="125">
        <f>AI285*Valores!$C$76</f>
        <v>-17361.634554</v>
      </c>
      <c r="AY285" s="125">
        <f>AI285*Valores!$C$77</f>
        <v>-1929.070506</v>
      </c>
      <c r="AZ285" s="125">
        <f t="shared" si="49"/>
        <v>610139.7416799999</v>
      </c>
      <c r="BA285" s="125">
        <f>AI285*Valores!$C$79</f>
        <v>102883.76032</v>
      </c>
      <c r="BB285" s="125">
        <f>AI285*Valores!$C$80</f>
        <v>45011.64514</v>
      </c>
      <c r="BC285" s="125">
        <f>AI285*Valores!$C$81</f>
        <v>6430.23502</v>
      </c>
      <c r="BD285" s="125">
        <f>AI285*Valores!$C$83</f>
        <v>22505.82257</v>
      </c>
      <c r="BE285" s="125">
        <f>AI285*Valores!$C$85</f>
        <v>34723.269108</v>
      </c>
      <c r="BF285" s="125">
        <f>AI285*Valores!$C$84</f>
        <v>3858.141012</v>
      </c>
      <c r="BG285" s="126"/>
      <c r="BH285" s="126">
        <f t="shared" si="43"/>
        <v>30</v>
      </c>
      <c r="BI285" s="123" t="s">
        <v>4</v>
      </c>
    </row>
    <row r="286" spans="1:61" s="110" customFormat="1" ht="11.25" customHeight="1">
      <c r="A286" s="123" t="s">
        <v>466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4"/>
        <v>2370</v>
      </c>
      <c r="F286" s="125">
        <f>ROUND(E286*Valores!$C$2,2)</f>
        <v>196188.6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66758.63</v>
      </c>
      <c r="N286" s="125">
        <f t="shared" si="46"/>
        <v>0</v>
      </c>
      <c r="O286" s="125">
        <f>Valores!$C$7*B286</f>
        <v>84214.5</v>
      </c>
      <c r="P286" s="125">
        <f>ROUND(IF(B286&lt;15,(Valores!$E$5*B286),Valores!$D$5),2)</f>
        <v>42317.14</v>
      </c>
      <c r="Q286" s="125">
        <v>0</v>
      </c>
      <c r="R286" s="125">
        <f>IF($F$4="NO",IF(Valores!$C$50*B286&gt;Valores!$F$47,Valores!$F$47,Valores!$C$50*B286),IF(Valores!$C$50*B286&gt;Valores!$F$47,Valores!$F$47,Valores!$C$50*B286)/2)</f>
        <v>44359.5</v>
      </c>
      <c r="S286" s="125">
        <f>Valores!$C$18*B286</f>
        <v>26486.4</v>
      </c>
      <c r="T286" s="125">
        <f t="shared" si="53"/>
        <v>26486.4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IF(Valores!$C$99*B286&gt;Valores!$C$98,Valores!$C$98,Valores!$C$99*B286)</f>
        <v>80858.1</v>
      </c>
      <c r="AA286" s="125">
        <f>IF((Valores!$C$28)*B286&gt;Valores!$F$28,Valores!$F$28,(Valores!$C$28)*B286)</f>
        <v>2080.8</v>
      </c>
      <c r="AB286" s="214">
        <v>0</v>
      </c>
      <c r="AC286" s="125">
        <f t="shared" si="47"/>
        <v>0</v>
      </c>
      <c r="AD286" s="125">
        <f>IF(Valores!$C$29*B286&gt;Valores!$F$29,Valores!$F$29,Valores!$C$29*B286)</f>
        <v>1730.69</v>
      </c>
      <c r="AE286" s="192">
        <v>94</v>
      </c>
      <c r="AF286" s="125">
        <f>ROUND(AE286*Valores!$C$2,2)</f>
        <v>7781.32</v>
      </c>
      <c r="AG286" s="125">
        <f>IF($F$4="NO",IF(Valores!$D$64*'Escala Docente'!B286&gt;Valores!$F$64,Valores!$F$64,Valores!$D$64*'Escala Docente'!B286),IF(Valores!$D$64*'Escala Docente'!B286&gt;Valores!$F$64,Valores!$F$64,Valores!$D$64*'Escala Docente'!B286)/2)+0.06</f>
        <v>39572.45999999999</v>
      </c>
      <c r="AH286" s="125">
        <f>SUM(F286,H286,J286,L286,M286,N286,O286,P286,Q286,R286,T286,U286,V286,X286,Y286,Z286,AA286,AC286,AD286,AF286,AG286)*Valores!$C$104</f>
        <v>59234.81399999999</v>
      </c>
      <c r="AI286" s="125">
        <f t="shared" si="50"/>
        <v>651582.9539999999</v>
      </c>
      <c r="AJ286" s="125">
        <f>IF(Valores!$C$33*B286&gt;Valores!$F$33,Valores!$F$33,Valores!$C$33*B286)</f>
        <v>69999.9999999999</v>
      </c>
      <c r="AK286" s="125">
        <v>0</v>
      </c>
      <c r="AL286" s="125">
        <f>IF(Valores!$C$92*B286&gt;Valores!$C$91,Valores!$C$91,Valores!$C$92*B286)</f>
        <v>0</v>
      </c>
      <c r="AM286" s="125">
        <f>IF(Valores!C$40*B286&gt;Valores!F$39,Valores!F$39,Valores!C$40*B286)</f>
        <v>0</v>
      </c>
      <c r="AN286" s="125">
        <f>IF($F$3="NO",0,IF(Valores!$C$63*B286&gt;Valores!$F$63,Valores!$F$63,Valores!$C$63*B286))</f>
        <v>0</v>
      </c>
      <c r="AO286" s="125">
        <f t="shared" si="48"/>
        <v>69999.9999999999</v>
      </c>
      <c r="AP286" s="125">
        <f>AI286*Valores!$C$72</f>
        <v>-71674.12494</v>
      </c>
      <c r="AQ286" s="125">
        <f>IF(AI286&lt;Valores!$E$73,-0.02,IF(AI286&lt;Valores!$F$73,-0.03,-0.04))*AI286</f>
        <v>-13031.659079999998</v>
      </c>
      <c r="AR286" s="125">
        <f>AI286*Valores!$C$75</f>
        <v>-35837.06247</v>
      </c>
      <c r="AS286" s="125">
        <f>Valores!$C$102</f>
        <v>-1270.16</v>
      </c>
      <c r="AT286" s="125">
        <f>IF($F$5=0,Valores!$C$103,(Valores!$C$103+$F$5*(Valores!$C$103)))</f>
        <v>-11714</v>
      </c>
      <c r="AU286" s="125">
        <f t="shared" si="51"/>
        <v>588055.9475099999</v>
      </c>
      <c r="AV286" s="125">
        <f t="shared" si="45"/>
        <v>-71674.12494</v>
      </c>
      <c r="AW286" s="125">
        <f t="shared" si="52"/>
        <v>-13031.659079999998</v>
      </c>
      <c r="AX286" s="125">
        <f>AI286*Valores!$C$76</f>
        <v>-17592.739757999996</v>
      </c>
      <c r="AY286" s="125">
        <f>AI286*Valores!$C$77</f>
        <v>-1954.7488619999997</v>
      </c>
      <c r="AZ286" s="125">
        <f t="shared" si="49"/>
        <v>617329.6813599998</v>
      </c>
      <c r="BA286" s="125">
        <f>AI286*Valores!$C$79</f>
        <v>104253.27263999998</v>
      </c>
      <c r="BB286" s="125">
        <f>AI286*Valores!$C$80</f>
        <v>45610.80678</v>
      </c>
      <c r="BC286" s="125">
        <f>AI286*Valores!$C$81</f>
        <v>6515.829539999999</v>
      </c>
      <c r="BD286" s="125">
        <f>AI286*Valores!$C$83</f>
        <v>22805.40339</v>
      </c>
      <c r="BE286" s="125">
        <f>AI286*Valores!$C$85</f>
        <v>35185.47951599999</v>
      </c>
      <c r="BF286" s="125">
        <f>AI286*Valores!$C$84</f>
        <v>3909.4977239999994</v>
      </c>
      <c r="BG286" s="126"/>
      <c r="BH286" s="126">
        <f t="shared" si="43"/>
        <v>30</v>
      </c>
      <c r="BI286" s="123" t="s">
        <v>4</v>
      </c>
    </row>
    <row r="287" spans="1:61" s="110" customFormat="1" ht="11.25" customHeight="1">
      <c r="A287" s="123" t="s">
        <v>466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4"/>
        <v>2449</v>
      </c>
      <c r="F287" s="125">
        <f>ROUND(E287*Valores!$C$2,2)</f>
        <v>202728.22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68983.91</v>
      </c>
      <c r="N287" s="125">
        <f t="shared" si="46"/>
        <v>0</v>
      </c>
      <c r="O287" s="125">
        <f>Valores!$C$7*B287</f>
        <v>87021.65000000001</v>
      </c>
      <c r="P287" s="125">
        <f>ROUND(IF(B287&lt;15,(Valores!$E$5*B287),Valores!$D$5),2)</f>
        <v>42317.14</v>
      </c>
      <c r="Q287" s="125">
        <v>0</v>
      </c>
      <c r="R287" s="125">
        <f>IF($F$4="NO",IF(Valores!$C$50*B287&gt;Valores!$F$47,Valores!$F$47,Valores!$C$50*B287),IF(Valores!$C$50*B287&gt;Valores!$F$47,Valores!$F$47,Valores!$C$50*B287)/2)</f>
        <v>45838.15</v>
      </c>
      <c r="S287" s="125">
        <f>Valores!$C$18*B287</f>
        <v>27369.28</v>
      </c>
      <c r="T287" s="125">
        <f t="shared" si="53"/>
        <v>27369.28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IF(Valores!$C$99*B287&gt;Valores!$C$98,Valores!$C$98,Valores!$C$99*B287)</f>
        <v>83553.37</v>
      </c>
      <c r="AA287" s="125">
        <f>IF((Valores!$C$28)*B287&gt;Valores!$F$28,Valores!$F$28,(Valores!$C$28)*B287)</f>
        <v>2150.16</v>
      </c>
      <c r="AB287" s="214">
        <v>0</v>
      </c>
      <c r="AC287" s="125">
        <f t="shared" si="47"/>
        <v>0</v>
      </c>
      <c r="AD287" s="125">
        <f>IF(Valores!$C$29*B287&gt;Valores!$F$29,Valores!$F$29,Valores!$C$29*B287)</f>
        <v>1730.69</v>
      </c>
      <c r="AE287" s="192">
        <v>0</v>
      </c>
      <c r="AF287" s="125">
        <f>ROUND(AE287*Valores!$C$2,2)</f>
        <v>0</v>
      </c>
      <c r="AG287" s="125">
        <f>IF($F$4="NO",IF(Valores!$D$64*'Escala Docente'!B287&gt;Valores!$F$64,Valores!$F$64,Valores!$D$64*'Escala Docente'!B287),IF(Valores!$D$64*'Escala Docente'!B287&gt;Valores!$F$64,Valores!$F$64,Valores!$D$64*'Escala Docente'!B287)/2)</f>
        <v>39572.54</v>
      </c>
      <c r="AH287" s="125">
        <f>SUM(F287,H287,J287,L287,M287,N287,O287,P287,Q287,R287,T287,U287,V287,X287,Y287,Z287,AA287,AC287,AD287,AF287,AG287)*Valores!$C$104</f>
        <v>60126.51100000001</v>
      </c>
      <c r="AI287" s="125">
        <f t="shared" si="50"/>
        <v>661391.6210000002</v>
      </c>
      <c r="AJ287" s="125">
        <f>IF(Valores!$C$33*B287&gt;Valores!$F$33,Valores!$F$33,Valores!$C$33*B287)</f>
        <v>70000</v>
      </c>
      <c r="AK287" s="125">
        <v>0</v>
      </c>
      <c r="AL287" s="125">
        <f>IF(Valores!$C$92*B287&gt;Valores!$C$91,Valores!$C$91,Valores!$C$92*B287)</f>
        <v>0</v>
      </c>
      <c r="AM287" s="125">
        <f>IF(Valores!C$40*B287&gt;Valores!F$39,Valores!F$39,Valores!C$40*B287)</f>
        <v>0</v>
      </c>
      <c r="AN287" s="125">
        <f>IF($F$3="NO",0,IF(Valores!$C$63*B287&gt;Valores!$F$63,Valores!$F$63,Valores!$C$63*B287))</f>
        <v>0</v>
      </c>
      <c r="AO287" s="125">
        <f t="shared" si="48"/>
        <v>70000</v>
      </c>
      <c r="AP287" s="125">
        <f>AI287*Valores!$C$72</f>
        <v>-72753.07831000001</v>
      </c>
      <c r="AQ287" s="125">
        <f>IF(AI287&lt;Valores!$E$73,-0.02,IF(AI287&lt;Valores!$F$73,-0.03,-0.04))*AI287</f>
        <v>-13227.832420000004</v>
      </c>
      <c r="AR287" s="125">
        <f>AI287*Valores!$C$75</f>
        <v>-36376.539155000006</v>
      </c>
      <c r="AS287" s="125">
        <f>Valores!$C$102</f>
        <v>-1270.16</v>
      </c>
      <c r="AT287" s="125">
        <f>IF($F$5=0,Valores!$C$103,(Valores!$C$103+$F$5*(Valores!$C$103)))</f>
        <v>-11714</v>
      </c>
      <c r="AU287" s="125">
        <f t="shared" si="51"/>
        <v>596050.0111150001</v>
      </c>
      <c r="AV287" s="125">
        <f t="shared" si="45"/>
        <v>-72753.07831000001</v>
      </c>
      <c r="AW287" s="125">
        <f t="shared" si="52"/>
        <v>-13227.832420000004</v>
      </c>
      <c r="AX287" s="125">
        <f>AI287*Valores!$C$76</f>
        <v>-17857.573767000005</v>
      </c>
      <c r="AY287" s="125">
        <f>AI287*Valores!$C$77</f>
        <v>-1984.1748630000004</v>
      </c>
      <c r="AZ287" s="125">
        <f t="shared" si="49"/>
        <v>625568.9616400001</v>
      </c>
      <c r="BA287" s="125">
        <f>AI287*Valores!$C$79</f>
        <v>105822.65936000003</v>
      </c>
      <c r="BB287" s="125">
        <f>AI287*Valores!$C$80</f>
        <v>46297.413470000014</v>
      </c>
      <c r="BC287" s="125">
        <f>AI287*Valores!$C$81</f>
        <v>6613.916210000002</v>
      </c>
      <c r="BD287" s="125">
        <f>AI287*Valores!$C$83</f>
        <v>23148.706735000007</v>
      </c>
      <c r="BE287" s="125">
        <f>AI287*Valores!$C$85</f>
        <v>35715.14753400001</v>
      </c>
      <c r="BF287" s="125">
        <f>AI287*Valores!$C$84</f>
        <v>3968.349726000001</v>
      </c>
      <c r="BG287" s="126"/>
      <c r="BH287" s="126">
        <f aca="true" t="shared" si="54" ref="BH287:BH299">1*B287</f>
        <v>31</v>
      </c>
      <c r="BI287" s="123" t="s">
        <v>8</v>
      </c>
    </row>
    <row r="288" spans="1:61" s="110" customFormat="1" ht="11.25" customHeight="1">
      <c r="A288" s="123" t="s">
        <v>466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4"/>
        <v>2449</v>
      </c>
      <c r="F288" s="125">
        <f>ROUND(E288*Valores!$C$2,2)</f>
        <v>202728.22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68983.91</v>
      </c>
      <c r="N288" s="125">
        <f t="shared" si="46"/>
        <v>0</v>
      </c>
      <c r="O288" s="125">
        <f>Valores!$C$7*B288</f>
        <v>87021.65000000001</v>
      </c>
      <c r="P288" s="125">
        <f>ROUND(IF(B288&lt;15,(Valores!$E$5*B288),Valores!$D$5),2)</f>
        <v>42317.14</v>
      </c>
      <c r="Q288" s="125">
        <v>0</v>
      </c>
      <c r="R288" s="125">
        <f>IF($F$4="NO",IF(Valores!$C$50*B288&gt;Valores!$F$47,Valores!$F$47,Valores!$C$50*B288),IF(Valores!$C$50*B288&gt;Valores!$F$47,Valores!$F$47,Valores!$C$50*B288)/2)</f>
        <v>45838.15</v>
      </c>
      <c r="S288" s="125">
        <f>Valores!$C$18*B288</f>
        <v>27369.28</v>
      </c>
      <c r="T288" s="125">
        <f t="shared" si="53"/>
        <v>27369.28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IF(Valores!$C$99*B288&gt;Valores!$C$98,Valores!$C$98,Valores!$C$99*B288)</f>
        <v>83553.37</v>
      </c>
      <c r="AA288" s="125">
        <f>IF((Valores!$C$28)*B288&gt;Valores!$F$28,Valores!$F$28,(Valores!$C$28)*B288)</f>
        <v>2150.16</v>
      </c>
      <c r="AB288" s="214">
        <v>0</v>
      </c>
      <c r="AC288" s="125">
        <f t="shared" si="47"/>
        <v>0</v>
      </c>
      <c r="AD288" s="125">
        <f>IF(Valores!$C$29*B288&gt;Valores!$F$29,Valores!$F$29,Valores!$C$29*B288)</f>
        <v>1730.69</v>
      </c>
      <c r="AE288" s="192">
        <v>94</v>
      </c>
      <c r="AF288" s="125">
        <f>ROUND(AE288*Valores!$C$2,2)</f>
        <v>7781.32</v>
      </c>
      <c r="AG288" s="125">
        <f>IF($F$4="NO",IF(Valores!$D$64*'Escala Docente'!B288&gt;Valores!$F$64,Valores!$F$64,Valores!$D$64*'Escala Docente'!B288),IF(Valores!$D$64*'Escala Docente'!B288&gt;Valores!$F$64,Valores!$F$64,Valores!$D$64*'Escala Docente'!B288)/2)</f>
        <v>39572.54</v>
      </c>
      <c r="AH288" s="125">
        <f>SUM(F288,H288,J288,L288,M288,N288,O288,P288,Q288,R288,T288,U288,V288,X288,Y288,Z288,AA288,AC288,AD288,AF288,AG288)*Valores!$C$104</f>
        <v>60904.64300000001</v>
      </c>
      <c r="AI288" s="125">
        <f t="shared" si="50"/>
        <v>669951.0730000001</v>
      </c>
      <c r="AJ288" s="125">
        <f>IF(Valores!$C$33*B288&gt;Valores!$F$33,Valores!$F$33,Valores!$C$33*B288)</f>
        <v>70000</v>
      </c>
      <c r="AK288" s="125">
        <v>0</v>
      </c>
      <c r="AL288" s="125">
        <f>IF(Valores!$C$92*B288&gt;Valores!$C$91,Valores!$C$91,Valores!$C$92*B288)</f>
        <v>0</v>
      </c>
      <c r="AM288" s="125">
        <f>IF(Valores!C$40*B288&gt;Valores!F$39,Valores!F$39,Valores!C$40*B288)</f>
        <v>0</v>
      </c>
      <c r="AN288" s="125">
        <f>IF($F$3="NO",0,IF(Valores!$C$63*B288&gt;Valores!$F$63,Valores!$F$63,Valores!$C$63*B288))</f>
        <v>0</v>
      </c>
      <c r="AO288" s="125">
        <f t="shared" si="48"/>
        <v>70000</v>
      </c>
      <c r="AP288" s="125">
        <f>AI288*Valores!$C$72</f>
        <v>-73694.61803000001</v>
      </c>
      <c r="AQ288" s="125">
        <f>IF(AI288&lt;Valores!$E$73,-0.02,IF(AI288&lt;Valores!$F$73,-0.03,-0.04))*AI288</f>
        <v>-13399.021460000002</v>
      </c>
      <c r="AR288" s="125">
        <f>AI288*Valores!$C$75</f>
        <v>-36847.309015000006</v>
      </c>
      <c r="AS288" s="125">
        <f>Valores!$C$102</f>
        <v>-1270.16</v>
      </c>
      <c r="AT288" s="125">
        <f>IF($F$5=0,Valores!$C$103,(Valores!$C$103+$F$5*(Valores!$C$103)))</f>
        <v>-11714</v>
      </c>
      <c r="AU288" s="125">
        <f t="shared" si="51"/>
        <v>603025.9644950001</v>
      </c>
      <c r="AV288" s="125">
        <f t="shared" si="45"/>
        <v>-73694.61803000001</v>
      </c>
      <c r="AW288" s="125">
        <f t="shared" si="52"/>
        <v>-13399.021460000002</v>
      </c>
      <c r="AX288" s="125">
        <f>AI288*Valores!$C$76</f>
        <v>-18088.678971</v>
      </c>
      <c r="AY288" s="125">
        <f>AI288*Valores!$C$77</f>
        <v>-2009.8532190000003</v>
      </c>
      <c r="AZ288" s="125">
        <f t="shared" si="49"/>
        <v>632758.9013200001</v>
      </c>
      <c r="BA288" s="125">
        <f>AI288*Valores!$C$79</f>
        <v>107192.17168000001</v>
      </c>
      <c r="BB288" s="125">
        <f>AI288*Valores!$C$80</f>
        <v>46896.57511000001</v>
      </c>
      <c r="BC288" s="125">
        <f>AI288*Valores!$C$81</f>
        <v>6699.510730000001</v>
      </c>
      <c r="BD288" s="125">
        <f>AI288*Valores!$C$83</f>
        <v>23448.287555000006</v>
      </c>
      <c r="BE288" s="125">
        <f>AI288*Valores!$C$85</f>
        <v>36177.357942</v>
      </c>
      <c r="BF288" s="125">
        <f>AI288*Valores!$C$84</f>
        <v>4019.7064380000006</v>
      </c>
      <c r="BG288" s="126"/>
      <c r="BH288" s="126">
        <f t="shared" si="54"/>
        <v>31</v>
      </c>
      <c r="BI288" s="123" t="s">
        <v>8</v>
      </c>
    </row>
    <row r="289" spans="1:61" s="110" customFormat="1" ht="11.25" customHeight="1">
      <c r="A289" s="123" t="s">
        <v>466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4"/>
        <v>2528</v>
      </c>
      <c r="F289" s="125">
        <f>ROUND(E289*Valores!$C$2,2)</f>
        <v>209267.84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71209.2</v>
      </c>
      <c r="N289" s="125">
        <f t="shared" si="46"/>
        <v>0</v>
      </c>
      <c r="O289" s="125">
        <f>Valores!$C$7*B289</f>
        <v>89828.8</v>
      </c>
      <c r="P289" s="125">
        <f>ROUND(IF(B289&lt;15,(Valores!$E$5*B289),Valores!$D$5),2)</f>
        <v>42317.14</v>
      </c>
      <c r="Q289" s="125">
        <v>0</v>
      </c>
      <c r="R289" s="125">
        <f>IF($F$4="NO",IF(Valores!$C$50*B289&gt;Valores!$F$47,Valores!$F$47,Valores!$C$50*B289),IF(Valores!$C$50*B289&gt;Valores!$F$47,Valores!$F$47,Valores!$C$50*B289)/2)</f>
        <v>47316.8</v>
      </c>
      <c r="S289" s="125">
        <f>Valores!$C$18*B289</f>
        <v>28252.16</v>
      </c>
      <c r="T289" s="125">
        <f t="shared" si="53"/>
        <v>28252.16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IF(Valores!$C$99*B289&gt;Valores!$C$98,Valores!$C$98,Valores!$C$99*B289)</f>
        <v>86248.64</v>
      </c>
      <c r="AA289" s="125">
        <f>IF((Valores!$C$28)*B289&gt;Valores!$F$28,Valores!$F$28,(Valores!$C$28)*B289)</f>
        <v>2219.52</v>
      </c>
      <c r="AB289" s="214">
        <v>0</v>
      </c>
      <c r="AC289" s="125">
        <f t="shared" si="47"/>
        <v>0</v>
      </c>
      <c r="AD289" s="125">
        <f>IF(Valores!$C$29*B289&gt;Valores!$F$29,Valores!$F$29,Valores!$C$29*B289)</f>
        <v>1730.69</v>
      </c>
      <c r="AE289" s="192">
        <v>0</v>
      </c>
      <c r="AF289" s="125">
        <f>ROUND(AE289*Valores!$C$2,2)</f>
        <v>0</v>
      </c>
      <c r="AG289" s="125">
        <f>IF($F$4="NO",IF(Valores!$D$64*'Escala Docente'!B289&gt;Valores!$F$64,Valores!$F$64,Valores!$D$64*'Escala Docente'!B289),IF(Valores!$D$64*'Escala Docente'!B289&gt;Valores!$F$64,Valores!$F$64,Valores!$D$64*'Escala Docente'!B289)/2)</f>
        <v>39572.54</v>
      </c>
      <c r="AH289" s="125">
        <f>SUM(F289,H289,J289,L289,M289,N289,O289,P289,Q289,R289,T289,U289,V289,X289,Y289,Z289,AA289,AC289,AD289,AF289,AG289)*Valores!$C$104</f>
        <v>61796.333</v>
      </c>
      <c r="AI289" s="125">
        <f t="shared" si="50"/>
        <v>679759.663</v>
      </c>
      <c r="AJ289" s="125">
        <f>IF(Valores!$C$33*B289&gt;Valores!$F$33,Valores!$F$33,Valores!$C$33*B289)</f>
        <v>70000</v>
      </c>
      <c r="AK289" s="125">
        <v>0</v>
      </c>
      <c r="AL289" s="125">
        <f>IF(Valores!$C$92*B289&gt;Valores!$C$91,Valores!$C$91,Valores!$C$92*B289)</f>
        <v>0</v>
      </c>
      <c r="AM289" s="125">
        <f>IF(Valores!C$40*B289&gt;Valores!F$39,Valores!F$39,Valores!C$40*B289)</f>
        <v>0</v>
      </c>
      <c r="AN289" s="125">
        <f>IF($F$3="NO",0,IF(Valores!$C$63*B289&gt;Valores!$F$63,Valores!$F$63,Valores!$C$63*B289))</f>
        <v>0</v>
      </c>
      <c r="AO289" s="125">
        <f t="shared" si="48"/>
        <v>70000</v>
      </c>
      <c r="AP289" s="125">
        <f>AI289*Valores!$C$72</f>
        <v>-74773.56293</v>
      </c>
      <c r="AQ289" s="125">
        <f>IF(AI289&lt;Valores!$E$73,-0.02,IF(AI289&lt;Valores!$F$73,-0.03,-0.04))*AI289</f>
        <v>-13595.19326</v>
      </c>
      <c r="AR289" s="125">
        <f>AI289*Valores!$C$75</f>
        <v>-37386.781465</v>
      </c>
      <c r="AS289" s="125">
        <f>Valores!$C$102</f>
        <v>-1270.16</v>
      </c>
      <c r="AT289" s="125">
        <f>IF($F$5=0,Valores!$C$103,(Valores!$C$103+$F$5*(Valores!$C$103)))</f>
        <v>-11714</v>
      </c>
      <c r="AU289" s="125">
        <f t="shared" si="51"/>
        <v>611019.9653449999</v>
      </c>
      <c r="AV289" s="125">
        <f t="shared" si="45"/>
        <v>-74773.56293</v>
      </c>
      <c r="AW289" s="125">
        <f t="shared" si="52"/>
        <v>-13595.19326</v>
      </c>
      <c r="AX289" s="125">
        <f>AI289*Valores!$C$76</f>
        <v>-18353.510900999998</v>
      </c>
      <c r="AY289" s="125">
        <f>AI289*Valores!$C$77</f>
        <v>-2039.278989</v>
      </c>
      <c r="AZ289" s="125">
        <f t="shared" si="49"/>
        <v>640998.11692</v>
      </c>
      <c r="BA289" s="125">
        <f>AI289*Valores!$C$79</f>
        <v>108761.54608</v>
      </c>
      <c r="BB289" s="125">
        <f>AI289*Valores!$C$80</f>
        <v>47583.17641</v>
      </c>
      <c r="BC289" s="125">
        <f>AI289*Valores!$C$81</f>
        <v>6797.59663</v>
      </c>
      <c r="BD289" s="125">
        <f>AI289*Valores!$C$83</f>
        <v>23791.588205</v>
      </c>
      <c r="BE289" s="125">
        <f>AI289*Valores!$C$85</f>
        <v>36707.021801999996</v>
      </c>
      <c r="BF289" s="125">
        <f>AI289*Valores!$C$84</f>
        <v>4078.557978</v>
      </c>
      <c r="BG289" s="126"/>
      <c r="BH289" s="126">
        <f t="shared" si="54"/>
        <v>32</v>
      </c>
      <c r="BI289" s="123" t="s">
        <v>8</v>
      </c>
    </row>
    <row r="290" spans="1:61" s="110" customFormat="1" ht="11.25" customHeight="1">
      <c r="A290" s="123" t="s">
        <v>466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4"/>
        <v>2528</v>
      </c>
      <c r="F290" s="125">
        <f>ROUND(E290*Valores!$C$2,2)</f>
        <v>209267.84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71209.2</v>
      </c>
      <c r="N290" s="125">
        <f t="shared" si="46"/>
        <v>0</v>
      </c>
      <c r="O290" s="125">
        <f>Valores!$C$7*B290</f>
        <v>89828.8</v>
      </c>
      <c r="P290" s="125">
        <f>ROUND(IF(B290&lt;15,(Valores!$E$5*B290),Valores!$D$5),2)</f>
        <v>42317.14</v>
      </c>
      <c r="Q290" s="125">
        <v>0</v>
      </c>
      <c r="R290" s="125">
        <f>IF($F$4="NO",IF(Valores!$C$50*B290&gt;Valores!$F$47,Valores!$F$47,Valores!$C$50*B290),IF(Valores!$C$50*B290&gt;Valores!$F$47,Valores!$F$47,Valores!$C$50*B290)/2)</f>
        <v>47316.8</v>
      </c>
      <c r="S290" s="125">
        <f>Valores!$C$18*B290</f>
        <v>28252.16</v>
      </c>
      <c r="T290" s="125">
        <f t="shared" si="53"/>
        <v>28252.16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IF(Valores!$C$99*B290&gt;Valores!$C$98,Valores!$C$98,Valores!$C$99*B290)</f>
        <v>86248.64</v>
      </c>
      <c r="AA290" s="125">
        <f>IF((Valores!$C$28)*B290&gt;Valores!$F$28,Valores!$F$28,(Valores!$C$28)*B290)</f>
        <v>2219.52</v>
      </c>
      <c r="AB290" s="214">
        <v>0</v>
      </c>
      <c r="AC290" s="125">
        <f t="shared" si="47"/>
        <v>0</v>
      </c>
      <c r="AD290" s="125">
        <f>IF(Valores!$C$29*B290&gt;Valores!$F$29,Valores!$F$29,Valores!$C$29*B290)</f>
        <v>1730.69</v>
      </c>
      <c r="AE290" s="192">
        <v>94</v>
      </c>
      <c r="AF290" s="125">
        <f>ROUND(AE290*Valores!$C$2,2)</f>
        <v>7781.32</v>
      </c>
      <c r="AG290" s="125">
        <f>IF($F$4="NO",IF(Valores!$D$64*'Escala Docente'!B290&gt;Valores!$F$64,Valores!$F$64,Valores!$D$64*'Escala Docente'!B290),IF(Valores!$D$64*'Escala Docente'!B290&gt;Valores!$F$64,Valores!$F$64,Valores!$D$64*'Escala Docente'!B290)/2)</f>
        <v>39572.54</v>
      </c>
      <c r="AH290" s="125">
        <f>SUM(F290,H290,J290,L290,M290,N290,O290,P290,Q290,R290,T290,U290,V290,X290,Y290,Z290,AA290,AC290,AD290,AF290,AG290)*Valores!$C$104</f>
        <v>62574.465</v>
      </c>
      <c r="AI290" s="125">
        <f t="shared" si="50"/>
        <v>688319.1149999999</v>
      </c>
      <c r="AJ290" s="125">
        <f>IF(Valores!$C$33*B290&gt;Valores!$F$33,Valores!$F$33,Valores!$C$33*B290)</f>
        <v>70000</v>
      </c>
      <c r="AK290" s="125">
        <v>0</v>
      </c>
      <c r="AL290" s="125">
        <f>IF(Valores!$C$92*B290&gt;Valores!$C$91,Valores!$C$91,Valores!$C$92*B290)</f>
        <v>0</v>
      </c>
      <c r="AM290" s="125">
        <f>IF(Valores!C$40*B290&gt;Valores!F$39,Valores!F$39,Valores!C$40*B290)</f>
        <v>0</v>
      </c>
      <c r="AN290" s="125">
        <f>IF($F$3="NO",0,IF(Valores!$C$63*B290&gt;Valores!$F$63,Valores!$F$63,Valores!$C$63*B290))</f>
        <v>0</v>
      </c>
      <c r="AO290" s="125">
        <f t="shared" si="48"/>
        <v>70000</v>
      </c>
      <c r="AP290" s="125">
        <f>AI290*Valores!$C$72</f>
        <v>-75715.10264999999</v>
      </c>
      <c r="AQ290" s="125">
        <f>IF(AI290&lt;Valores!$E$73,-0.02,IF(AI290&lt;Valores!$F$73,-0.03,-0.04))*AI290</f>
        <v>-13766.382299999997</v>
      </c>
      <c r="AR290" s="125">
        <f>AI290*Valores!$C$75</f>
        <v>-37857.55132499999</v>
      </c>
      <c r="AS290" s="125">
        <f>Valores!$C$102</f>
        <v>-1270.16</v>
      </c>
      <c r="AT290" s="125">
        <f>IF($F$5=0,Valores!$C$103,(Valores!$C$103+$F$5*(Valores!$C$103)))</f>
        <v>-11714</v>
      </c>
      <c r="AU290" s="125">
        <f t="shared" si="51"/>
        <v>617995.9187249999</v>
      </c>
      <c r="AV290" s="125">
        <f t="shared" si="45"/>
        <v>-75715.10264999999</v>
      </c>
      <c r="AW290" s="125">
        <f t="shared" si="52"/>
        <v>-13766.382299999997</v>
      </c>
      <c r="AX290" s="125">
        <f>AI290*Valores!$C$76</f>
        <v>-18584.616104999997</v>
      </c>
      <c r="AY290" s="125">
        <f>AI290*Valores!$C$77</f>
        <v>-2064.957345</v>
      </c>
      <c r="AZ290" s="125">
        <f t="shared" si="49"/>
        <v>648188.0565999999</v>
      </c>
      <c r="BA290" s="125">
        <f>AI290*Valores!$C$79</f>
        <v>110131.05839999998</v>
      </c>
      <c r="BB290" s="125">
        <f>AI290*Valores!$C$80</f>
        <v>48182.33805</v>
      </c>
      <c r="BC290" s="125">
        <f>AI290*Valores!$C$81</f>
        <v>6883.191149999999</v>
      </c>
      <c r="BD290" s="125">
        <f>AI290*Valores!$C$83</f>
        <v>24091.169025</v>
      </c>
      <c r="BE290" s="125">
        <f>AI290*Valores!$C$85</f>
        <v>37169.232209999995</v>
      </c>
      <c r="BF290" s="125">
        <f>AI290*Valores!$C$84</f>
        <v>4129.91469</v>
      </c>
      <c r="BG290" s="126"/>
      <c r="BH290" s="126">
        <f t="shared" si="54"/>
        <v>32</v>
      </c>
      <c r="BI290" s="123" t="s">
        <v>8</v>
      </c>
    </row>
    <row r="291" spans="1:61" s="110" customFormat="1" ht="11.25" customHeight="1">
      <c r="A291" s="123" t="s">
        <v>466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5" ref="E291:E298">79*B291</f>
        <v>2607</v>
      </c>
      <c r="F291" s="125">
        <f>ROUND(E291*Valores!$C$2,2)</f>
        <v>215807.46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73278.09</v>
      </c>
      <c r="N291" s="125">
        <f t="shared" si="46"/>
        <v>0</v>
      </c>
      <c r="O291" s="125">
        <f>Valores!$C$7*B291</f>
        <v>92635.95</v>
      </c>
      <c r="P291" s="125">
        <f>ROUND(IF(B291&lt;15,(Valores!$E$5*B291),Valores!$D$5),2)</f>
        <v>42317.14</v>
      </c>
      <c r="Q291" s="125">
        <v>0</v>
      </c>
      <c r="R291" s="125">
        <f>IF($F$4="NO",IF(Valores!$C$50*B291&gt;Valores!$F$47,Valores!$F$47,Valores!$C$50*B291),IF(Valores!$C$50*B291&gt;Valores!$F$47,Valores!$F$47,Valores!$C$50*B291)/2)</f>
        <v>48169.84</v>
      </c>
      <c r="S291" s="125">
        <f>Valores!$C$18*B291</f>
        <v>29135.04</v>
      </c>
      <c r="T291" s="125">
        <f t="shared" si="53"/>
        <v>29135.04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IF(Valores!$C$99*B291&gt;Valores!$C$98,Valores!$C$98,Valores!$C$99*B291)</f>
        <v>88943.91</v>
      </c>
      <c r="AA291" s="125">
        <f>IF((Valores!$C$28)*B291&gt;Valores!$F$28,Valores!$F$28,(Valores!$C$28)*B291)</f>
        <v>2288.88</v>
      </c>
      <c r="AB291" s="214">
        <v>0</v>
      </c>
      <c r="AC291" s="125">
        <f t="shared" si="47"/>
        <v>0</v>
      </c>
      <c r="AD291" s="125">
        <f>IF(Valores!$C$29*B291&gt;Valores!$F$29,Valores!$F$29,Valores!$C$29*B291)</f>
        <v>1730.69</v>
      </c>
      <c r="AE291" s="192">
        <v>0</v>
      </c>
      <c r="AF291" s="125">
        <f>ROUND(AE291*Valores!$C$2,2)</f>
        <v>0</v>
      </c>
      <c r="AG291" s="125">
        <f>IF($F$4="NO",IF(Valores!$D$64*'Escala Docente'!B291&gt;Valores!$F$64,Valores!$F$64,Valores!$D$64*'Escala Docente'!B291),IF(Valores!$D$64*'Escala Docente'!B291&gt;Valores!$F$64,Valores!$F$64,Valores!$D$64*'Escala Docente'!B291)/2)</f>
        <v>39572.54</v>
      </c>
      <c r="AH291" s="125">
        <f>SUM(F291,H291,J291,L291,M291,N291,O291,P291,Q291,R291,T291,U291,V291,X291,Y291,Z291,AA291,AC291,AD291,AF291,AG291)*Valores!$C$104</f>
        <v>63387.954</v>
      </c>
      <c r="AI291" s="125">
        <f t="shared" si="50"/>
        <v>697267.494</v>
      </c>
      <c r="AJ291" s="125">
        <f>IF(Valores!$C$33*B291&gt;Valores!$F$33,Valores!$F$33,Valores!$C$33*B291)</f>
        <v>70000</v>
      </c>
      <c r="AK291" s="125">
        <v>0</v>
      </c>
      <c r="AL291" s="125">
        <f>IF(Valores!$C$92*B291&gt;Valores!$C$91,Valores!$C$91,Valores!$C$92*B291)</f>
        <v>0</v>
      </c>
      <c r="AM291" s="125">
        <f>IF(Valores!C$40*B291&gt;Valores!F$39,Valores!F$39,Valores!C$40*B291)</f>
        <v>0</v>
      </c>
      <c r="AN291" s="125">
        <f>IF($F$3="NO",0,IF(Valores!$C$63*B291&gt;Valores!$F$63,Valores!$F$63,Valores!$C$63*B291))</f>
        <v>0</v>
      </c>
      <c r="AO291" s="125">
        <f t="shared" si="48"/>
        <v>70000</v>
      </c>
      <c r="AP291" s="125">
        <f>AI291*Valores!$C$72</f>
        <v>-76699.42434</v>
      </c>
      <c r="AQ291" s="125">
        <f>IF(AI291&lt;Valores!$E$73,-0.02,IF(AI291&lt;Valores!$F$73,-0.03,-0.04))*AI291</f>
        <v>-13945.34988</v>
      </c>
      <c r="AR291" s="125">
        <f>AI291*Valores!$C$75</f>
        <v>-38349.71217</v>
      </c>
      <c r="AS291" s="125">
        <f>Valores!$C$102</f>
        <v>-1270.16</v>
      </c>
      <c r="AT291" s="125">
        <f>IF($F$5=0,Valores!$C$103,(Valores!$C$103+$F$5*(Valores!$C$103)))</f>
        <v>-11714</v>
      </c>
      <c r="AU291" s="125">
        <f t="shared" si="51"/>
        <v>625288.8476099999</v>
      </c>
      <c r="AV291" s="125">
        <f t="shared" si="45"/>
        <v>-76699.42434</v>
      </c>
      <c r="AW291" s="125">
        <f t="shared" si="52"/>
        <v>-13945.34988</v>
      </c>
      <c r="AX291" s="125">
        <f>AI291*Valores!$C$76</f>
        <v>-18826.222338</v>
      </c>
      <c r="AY291" s="125">
        <f>AI291*Valores!$C$77</f>
        <v>-2091.802482</v>
      </c>
      <c r="AZ291" s="125">
        <f t="shared" si="49"/>
        <v>655704.69496</v>
      </c>
      <c r="BA291" s="125">
        <f>AI291*Valores!$C$79</f>
        <v>111562.79904</v>
      </c>
      <c r="BB291" s="125">
        <f>AI291*Valores!$C$80</f>
        <v>48808.72458</v>
      </c>
      <c r="BC291" s="125">
        <f>AI291*Valores!$C$81</f>
        <v>6972.67494</v>
      </c>
      <c r="BD291" s="125">
        <f>AI291*Valores!$C$83</f>
        <v>24404.36229</v>
      </c>
      <c r="BE291" s="125">
        <f>AI291*Valores!$C$85</f>
        <v>37652.444676</v>
      </c>
      <c r="BF291" s="125">
        <f>AI291*Valores!$C$84</f>
        <v>4183.604964</v>
      </c>
      <c r="BG291" s="126"/>
      <c r="BH291" s="126">
        <f t="shared" si="54"/>
        <v>33</v>
      </c>
      <c r="BI291" s="123" t="s">
        <v>8</v>
      </c>
    </row>
    <row r="292" spans="1:61" s="110" customFormat="1" ht="11.25" customHeight="1">
      <c r="A292" s="123" t="s">
        <v>466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5"/>
        <v>2607</v>
      </c>
      <c r="F292" s="125">
        <f>ROUND(E292*Valores!$C$2,2)</f>
        <v>215807.46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73278.09</v>
      </c>
      <c r="N292" s="125">
        <f t="shared" si="46"/>
        <v>0</v>
      </c>
      <c r="O292" s="125">
        <f>Valores!$C$7*B292</f>
        <v>92635.95</v>
      </c>
      <c r="P292" s="125">
        <f>ROUND(IF(B292&lt;15,(Valores!$E$5*B292),Valores!$D$5),2)</f>
        <v>42317.14</v>
      </c>
      <c r="Q292" s="125">
        <v>0</v>
      </c>
      <c r="R292" s="125">
        <f>IF($F$4="NO",IF(Valores!$C$50*B292&gt;Valores!$F$47,Valores!$F$47,Valores!$C$50*B292),IF(Valores!$C$50*B292&gt;Valores!$F$47,Valores!$F$47,Valores!$C$50*B292)/2)</f>
        <v>48169.84</v>
      </c>
      <c r="S292" s="125">
        <f>Valores!$C$18*B292</f>
        <v>29135.04</v>
      </c>
      <c r="T292" s="125">
        <f t="shared" si="53"/>
        <v>29135.04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IF(Valores!$C$99*B292&gt;Valores!$C$98,Valores!$C$98,Valores!$C$99*B292)</f>
        <v>88943.91</v>
      </c>
      <c r="AA292" s="125">
        <f>IF((Valores!$C$28)*B292&gt;Valores!$F$28,Valores!$F$28,(Valores!$C$28)*B292)</f>
        <v>2288.88</v>
      </c>
      <c r="AB292" s="214">
        <v>0</v>
      </c>
      <c r="AC292" s="125">
        <f t="shared" si="47"/>
        <v>0</v>
      </c>
      <c r="AD292" s="125">
        <f>IF(Valores!$C$29*B292&gt;Valores!$F$29,Valores!$F$29,Valores!$C$29*B292)</f>
        <v>1730.69</v>
      </c>
      <c r="AE292" s="192">
        <v>94</v>
      </c>
      <c r="AF292" s="125">
        <f>ROUND(AE292*Valores!$C$2,2)</f>
        <v>7781.32</v>
      </c>
      <c r="AG292" s="125">
        <f>IF($F$4="NO",IF(Valores!$D$64*'Escala Docente'!B292&gt;Valores!$F$64,Valores!$F$64,Valores!$D$64*'Escala Docente'!B292),IF(Valores!$D$64*'Escala Docente'!B292&gt;Valores!$F$64,Valores!$F$64,Valores!$D$64*'Escala Docente'!B292)/2)</f>
        <v>39572.54</v>
      </c>
      <c r="AH292" s="125">
        <f>SUM(F292,H292,J292,L292,M292,N292,O292,P292,Q292,R292,T292,U292,V292,X292,Y292,Z292,AA292,AC292,AD292,AF292,AG292)*Valores!$C$104</f>
        <v>64166.08599999999</v>
      </c>
      <c r="AI292" s="125">
        <f t="shared" si="50"/>
        <v>705826.9459999999</v>
      </c>
      <c r="AJ292" s="125">
        <f>IF(Valores!$C$33*B292&gt;Valores!$F$33,Valores!$F$33,Valores!$C$33*B292)</f>
        <v>70000</v>
      </c>
      <c r="AK292" s="125">
        <v>0</v>
      </c>
      <c r="AL292" s="125">
        <f>IF(Valores!$C$92*B292&gt;Valores!$C$91,Valores!$C$91,Valores!$C$92*B292)</f>
        <v>0</v>
      </c>
      <c r="AM292" s="125">
        <f>IF(Valores!C$40*B292&gt;Valores!F$39,Valores!F$39,Valores!C$40*B292)</f>
        <v>0</v>
      </c>
      <c r="AN292" s="125">
        <f>IF($F$3="NO",0,IF(Valores!$C$63*B292&gt;Valores!$F$63,Valores!$F$63,Valores!$C$63*B292))</f>
        <v>0</v>
      </c>
      <c r="AO292" s="125">
        <f t="shared" si="48"/>
        <v>70000</v>
      </c>
      <c r="AP292" s="125">
        <f>AI292*Valores!$C$72</f>
        <v>-77640.96405999998</v>
      </c>
      <c r="AQ292" s="125">
        <f>IF(AI292&lt;Valores!$E$73,-0.02,IF(AI292&lt;Valores!$F$73,-0.03,-0.04))*AI292</f>
        <v>-14116.538919999997</v>
      </c>
      <c r="AR292" s="125">
        <f>AI292*Valores!$C$75</f>
        <v>-38820.48202999999</v>
      </c>
      <c r="AS292" s="125">
        <f>Valores!$C$102</f>
        <v>-1270.16</v>
      </c>
      <c r="AT292" s="125">
        <f>IF($F$5=0,Valores!$C$103,(Valores!$C$103+$F$5*(Valores!$C$103)))</f>
        <v>-11714</v>
      </c>
      <c r="AU292" s="125">
        <f t="shared" si="51"/>
        <v>632264.8009899999</v>
      </c>
      <c r="AV292" s="125">
        <f t="shared" si="45"/>
        <v>-77640.96405999998</v>
      </c>
      <c r="AW292" s="125">
        <f t="shared" si="52"/>
        <v>-14116.538919999997</v>
      </c>
      <c r="AX292" s="125">
        <f>AI292*Valores!$C$76</f>
        <v>-19057.327541999995</v>
      </c>
      <c r="AY292" s="125">
        <f>AI292*Valores!$C$77</f>
        <v>-2117.4808379999995</v>
      </c>
      <c r="AZ292" s="125">
        <f t="shared" si="49"/>
        <v>662894.63464</v>
      </c>
      <c r="BA292" s="125">
        <f>AI292*Valores!$C$79</f>
        <v>112932.31135999998</v>
      </c>
      <c r="BB292" s="125">
        <f>AI292*Valores!$C$80</f>
        <v>49407.88621999999</v>
      </c>
      <c r="BC292" s="125">
        <f>AI292*Valores!$C$81</f>
        <v>7058.269459999999</v>
      </c>
      <c r="BD292" s="125">
        <f>AI292*Valores!$C$83</f>
        <v>24703.943109999997</v>
      </c>
      <c r="BE292" s="125">
        <f>AI292*Valores!$C$85</f>
        <v>38114.65508399999</v>
      </c>
      <c r="BF292" s="125">
        <f>AI292*Valores!$C$84</f>
        <v>4234.961675999999</v>
      </c>
      <c r="BG292" s="123"/>
      <c r="BH292" s="126">
        <f t="shared" si="54"/>
        <v>33</v>
      </c>
      <c r="BI292" s="123" t="s">
        <v>8</v>
      </c>
    </row>
    <row r="293" spans="1:61" s="110" customFormat="1" ht="11.25" customHeight="1">
      <c r="A293" s="123" t="s">
        <v>466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5"/>
        <v>2686</v>
      </c>
      <c r="F293" s="125">
        <f>ROUND(E293*Valores!$C$2,2)</f>
        <v>222347.08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75133.71</v>
      </c>
      <c r="N293" s="125">
        <f t="shared" si="46"/>
        <v>0</v>
      </c>
      <c r="O293" s="125">
        <f>Valores!$C$7*B293</f>
        <v>95443.1</v>
      </c>
      <c r="P293" s="125">
        <f>ROUND(IF(B293&lt;15,(Valores!$E$5*B293),Valores!$D$5),2)</f>
        <v>42317.14</v>
      </c>
      <c r="Q293" s="125">
        <v>0</v>
      </c>
      <c r="R293" s="125">
        <f>IF($F$4="NO",IF(Valores!$C$50*B293&gt;Valores!$F$47,Valores!$F$47,Valores!$C$50*B293),IF(Valores!$C$50*B293&gt;Valores!$F$47,Valores!$F$47,Valores!$C$50*B293)/2)</f>
        <v>48169.84</v>
      </c>
      <c r="S293" s="125">
        <f>Valores!$C$18*B293</f>
        <v>30017.92</v>
      </c>
      <c r="T293" s="125">
        <f t="shared" si="53"/>
        <v>30017.92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IF(Valores!$C$99*B293&gt;Valores!$C$98,Valores!$C$98,Valores!$C$99*B293)</f>
        <v>91639.18</v>
      </c>
      <c r="AA293" s="125">
        <f>IF((Valores!$C$28)*B293&gt;Valores!$F$28,Valores!$F$28,(Valores!$C$28)*B293)</f>
        <v>2358.24</v>
      </c>
      <c r="AB293" s="214">
        <v>0</v>
      </c>
      <c r="AC293" s="125">
        <f t="shared" si="47"/>
        <v>0</v>
      </c>
      <c r="AD293" s="125">
        <f>IF(Valores!$C$29*B293&gt;Valores!$F$29,Valores!$F$29,Valores!$C$29*B293)</f>
        <v>1730.69</v>
      </c>
      <c r="AE293" s="192">
        <v>0</v>
      </c>
      <c r="AF293" s="125">
        <f>ROUND(AE293*Valores!$C$2,2)</f>
        <v>0</v>
      </c>
      <c r="AG293" s="125">
        <f>IF($F$4="NO",IF(Valores!$D$64*'Escala Docente'!B293&gt;Valores!$F$64,Valores!$F$64,Valores!$D$64*'Escala Docente'!B293),IF(Valores!$D$64*'Escala Docente'!B293&gt;Valores!$F$64,Valores!$F$64,Valores!$D$64*'Escala Docente'!B293)/2)</f>
        <v>39572.54</v>
      </c>
      <c r="AH293" s="125">
        <f>SUM(F293,H293,J293,L293,M293,N293,O293,P293,Q293,R293,T293,U293,V293,X293,Y293,Z293,AA293,AC293,AD293,AF293,AG293)*Valores!$C$104</f>
        <v>64872.943999999996</v>
      </c>
      <c r="AI293" s="125">
        <f t="shared" si="50"/>
        <v>713602.384</v>
      </c>
      <c r="AJ293" s="125">
        <f>IF(Valores!$C$33*B293&gt;Valores!$F$33,Valores!$F$33,Valores!$C$33*B293)</f>
        <v>70000</v>
      </c>
      <c r="AK293" s="125">
        <v>0</v>
      </c>
      <c r="AL293" s="125">
        <f>IF(Valores!$C$92*B293&gt;Valores!$C$91,Valores!$C$91,Valores!$C$92*B293)</f>
        <v>0</v>
      </c>
      <c r="AM293" s="125">
        <f>IF(Valores!C$40*B293&gt;Valores!F$39,Valores!F$39,Valores!C$40*B293)</f>
        <v>0</v>
      </c>
      <c r="AN293" s="125">
        <f>IF($F$3="NO",0,IF(Valores!$C$63*B293&gt;Valores!$F$63,Valores!$F$63,Valores!$C$63*B293))</f>
        <v>0</v>
      </c>
      <c r="AO293" s="125">
        <f t="shared" si="48"/>
        <v>70000</v>
      </c>
      <c r="AP293" s="125">
        <f>AI293*Valores!$C$72</f>
        <v>-78496.26224</v>
      </c>
      <c r="AQ293" s="125">
        <f>IF(AI293&lt;Valores!$E$73,-0.02,IF(AI293&lt;Valores!$F$73,-0.03,-0.04))*AI293</f>
        <v>-14272.04768</v>
      </c>
      <c r="AR293" s="125">
        <f>AI293*Valores!$C$75</f>
        <v>-39248.13112</v>
      </c>
      <c r="AS293" s="125">
        <f>Valores!$C$102</f>
        <v>-1270.16</v>
      </c>
      <c r="AT293" s="125">
        <f>IF($F$5=0,Valores!$C$103,(Valores!$C$103+$F$5*(Valores!$C$103)))</f>
        <v>-11714</v>
      </c>
      <c r="AU293" s="125">
        <f t="shared" si="51"/>
        <v>638601.78296</v>
      </c>
      <c r="AV293" s="125">
        <f t="shared" si="45"/>
        <v>-78496.26224</v>
      </c>
      <c r="AW293" s="125">
        <f t="shared" si="52"/>
        <v>-14272.04768</v>
      </c>
      <c r="AX293" s="125">
        <f>AI293*Valores!$C$76</f>
        <v>-19267.264368</v>
      </c>
      <c r="AY293" s="125">
        <f>AI293*Valores!$C$77</f>
        <v>-2140.807152</v>
      </c>
      <c r="AZ293" s="125">
        <f t="shared" si="49"/>
        <v>669426.0025599999</v>
      </c>
      <c r="BA293" s="125">
        <f>AI293*Valores!$C$79</f>
        <v>114176.38144</v>
      </c>
      <c r="BB293" s="125">
        <f>AI293*Valores!$C$80</f>
        <v>49952.166880000004</v>
      </c>
      <c r="BC293" s="125">
        <f>AI293*Valores!$C$81</f>
        <v>7136.02384</v>
      </c>
      <c r="BD293" s="125">
        <f>AI293*Valores!$C$83</f>
        <v>24976.083440000002</v>
      </c>
      <c r="BE293" s="125">
        <f>AI293*Valores!$C$85</f>
        <v>38534.528736</v>
      </c>
      <c r="BF293" s="125">
        <f>AI293*Valores!$C$84</f>
        <v>4281.614304</v>
      </c>
      <c r="BG293" s="126"/>
      <c r="BH293" s="126">
        <f t="shared" si="54"/>
        <v>34</v>
      </c>
      <c r="BI293" s="123" t="s">
        <v>8</v>
      </c>
    </row>
    <row r="294" spans="1:61" s="110" customFormat="1" ht="11.25" customHeight="1">
      <c r="A294" s="123" t="s">
        <v>466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5"/>
        <v>2686</v>
      </c>
      <c r="F294" s="125">
        <f>ROUND(E294*Valores!$C$2,2)</f>
        <v>222347.08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75133.71</v>
      </c>
      <c r="N294" s="125">
        <f t="shared" si="46"/>
        <v>0</v>
      </c>
      <c r="O294" s="125">
        <f>Valores!$C$7*B294</f>
        <v>95443.1</v>
      </c>
      <c r="P294" s="125">
        <f>ROUND(IF(B294&lt;15,(Valores!$E$5*B294),Valores!$D$5),2)</f>
        <v>42317.14</v>
      </c>
      <c r="Q294" s="125">
        <v>0</v>
      </c>
      <c r="R294" s="125">
        <f>IF($F$4="NO",IF(Valores!$C$50*B294&gt;Valores!$F$47,Valores!$F$47,Valores!$C$50*B294),IF(Valores!$C$50*B294&gt;Valores!$F$47,Valores!$F$47,Valores!$C$50*B294)/2)</f>
        <v>48169.84</v>
      </c>
      <c r="S294" s="125">
        <f>Valores!$C$18*B294</f>
        <v>30017.92</v>
      </c>
      <c r="T294" s="125">
        <f t="shared" si="53"/>
        <v>30017.92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IF(Valores!$C$99*B294&gt;Valores!$C$98,Valores!$C$98,Valores!$C$99*B294)</f>
        <v>91639.18</v>
      </c>
      <c r="AA294" s="125">
        <f>IF((Valores!$C$28)*B294&gt;Valores!$F$28,Valores!$F$28,(Valores!$C$28)*B294)</f>
        <v>2358.24</v>
      </c>
      <c r="AB294" s="214">
        <v>0</v>
      </c>
      <c r="AC294" s="125">
        <f t="shared" si="47"/>
        <v>0</v>
      </c>
      <c r="AD294" s="125">
        <f>IF(Valores!$C$29*B294&gt;Valores!$F$29,Valores!$F$29,Valores!$C$29*B294)</f>
        <v>1730.69</v>
      </c>
      <c r="AE294" s="192">
        <v>94</v>
      </c>
      <c r="AF294" s="125">
        <f>ROUND(AE294*Valores!$C$2,2)</f>
        <v>7781.32</v>
      </c>
      <c r="AG294" s="125">
        <f>IF($F$4="NO",IF(Valores!$D$64*'Escala Docente'!B294&gt;Valores!$F$64,Valores!$F$64,Valores!$D$64*'Escala Docente'!B294),IF(Valores!$D$64*'Escala Docente'!B294&gt;Valores!$F$64,Valores!$F$64,Valores!$D$64*'Escala Docente'!B294)/2)</f>
        <v>39572.54</v>
      </c>
      <c r="AH294" s="125">
        <f>SUM(F294,H294,J294,L294,M294,N294,O294,P294,Q294,R294,T294,U294,V294,X294,Y294,Z294,AA294,AC294,AD294,AF294,AG294)*Valores!$C$104</f>
        <v>65651.07599999999</v>
      </c>
      <c r="AI294" s="125">
        <f t="shared" si="50"/>
        <v>722161.8359999999</v>
      </c>
      <c r="AJ294" s="125">
        <f>IF(Valores!$C$33*B294&gt;Valores!$F$33,Valores!$F$33,Valores!$C$33*B294)</f>
        <v>70000</v>
      </c>
      <c r="AK294" s="125">
        <v>0</v>
      </c>
      <c r="AL294" s="125">
        <f>IF(Valores!$C$92*B294&gt;Valores!$C$91,Valores!$C$91,Valores!$C$92*B294)</f>
        <v>0</v>
      </c>
      <c r="AM294" s="125">
        <f>IF(Valores!C$40*B294&gt;Valores!F$39,Valores!F$39,Valores!C$40*B294)</f>
        <v>0</v>
      </c>
      <c r="AN294" s="125">
        <f>IF($F$3="NO",0,IF(Valores!$C$63*B294&gt;Valores!$F$63,Valores!$F$63,Valores!$C$63*B294))</f>
        <v>0</v>
      </c>
      <c r="AO294" s="125">
        <f t="shared" si="48"/>
        <v>70000</v>
      </c>
      <c r="AP294" s="125">
        <f>AI294*Valores!$C$72</f>
        <v>-79437.80195999998</v>
      </c>
      <c r="AQ294" s="125">
        <f>IF(AI294&lt;Valores!$E$73,-0.02,IF(AI294&lt;Valores!$F$73,-0.03,-0.04))*AI294</f>
        <v>-14443.236719999999</v>
      </c>
      <c r="AR294" s="125">
        <f>AI294*Valores!$C$75</f>
        <v>-39718.90097999999</v>
      </c>
      <c r="AS294" s="125">
        <f>Valores!$C$102</f>
        <v>-1270.16</v>
      </c>
      <c r="AT294" s="125">
        <f>IF($F$5=0,Valores!$C$103,(Valores!$C$103+$F$5*(Valores!$C$103)))</f>
        <v>-11714</v>
      </c>
      <c r="AU294" s="125">
        <f t="shared" si="51"/>
        <v>645577.73634</v>
      </c>
      <c r="AV294" s="125">
        <f t="shared" si="45"/>
        <v>-79437.80195999998</v>
      </c>
      <c r="AW294" s="125">
        <f t="shared" si="52"/>
        <v>-14443.236719999999</v>
      </c>
      <c r="AX294" s="125">
        <f>AI294*Valores!$C$76</f>
        <v>-19498.369571999996</v>
      </c>
      <c r="AY294" s="125">
        <f>AI294*Valores!$C$77</f>
        <v>-2166.4855079999998</v>
      </c>
      <c r="AZ294" s="125">
        <f t="shared" si="49"/>
        <v>676615.9422399999</v>
      </c>
      <c r="BA294" s="125">
        <f>AI294*Valores!$C$79</f>
        <v>115545.89375999999</v>
      </c>
      <c r="BB294" s="125">
        <f>AI294*Valores!$C$80</f>
        <v>50551.328519999995</v>
      </c>
      <c r="BC294" s="125">
        <f>AI294*Valores!$C$81</f>
        <v>7221.6183599999995</v>
      </c>
      <c r="BD294" s="125">
        <f>AI294*Valores!$C$83</f>
        <v>25275.664259999998</v>
      </c>
      <c r="BE294" s="125">
        <f>AI294*Valores!$C$85</f>
        <v>38996.73914399999</v>
      </c>
      <c r="BF294" s="125">
        <f>AI294*Valores!$C$84</f>
        <v>4332.9710159999995</v>
      </c>
      <c r="BG294" s="126"/>
      <c r="BH294" s="126">
        <f t="shared" si="54"/>
        <v>34</v>
      </c>
      <c r="BI294" s="123" t="s">
        <v>8</v>
      </c>
    </row>
    <row r="295" spans="1:61" s="110" customFormat="1" ht="11.25" customHeight="1">
      <c r="A295" s="123" t="s">
        <v>466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5"/>
        <v>2765</v>
      </c>
      <c r="F295" s="125">
        <f>ROUND(E295*Valores!$C$2,2)</f>
        <v>228886.7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76989.34</v>
      </c>
      <c r="N295" s="125">
        <f t="shared" si="46"/>
        <v>0</v>
      </c>
      <c r="O295" s="125">
        <f>Valores!$C$7*B295</f>
        <v>98250.25</v>
      </c>
      <c r="P295" s="125">
        <f>ROUND(IF(B295&lt;15,(Valores!$E$5*B295),Valores!$D$5),2)</f>
        <v>42317.14</v>
      </c>
      <c r="Q295" s="125">
        <v>0</v>
      </c>
      <c r="R295" s="125">
        <f>IF($F$4="NO",IF(Valores!$C$50*B295&gt;Valores!$F$47,Valores!$F$47,Valores!$C$50*B295),IF(Valores!$C$50*B295&gt;Valores!$F$47,Valores!$F$47,Valores!$C$50*B295)/2)</f>
        <v>48169.84</v>
      </c>
      <c r="S295" s="125">
        <f>Valores!$C$18*B295</f>
        <v>30900.8</v>
      </c>
      <c r="T295" s="125">
        <f t="shared" si="53"/>
        <v>30900.8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IF(Valores!$C$99*B295&gt;Valores!$C$98,Valores!$C$98,Valores!$C$99*B295)</f>
        <v>94334.45</v>
      </c>
      <c r="AA295" s="125">
        <f>IF((Valores!$C$28)*B295&gt;Valores!$F$28,Valores!$F$28,(Valores!$C$28)*B295)</f>
        <v>2427.6</v>
      </c>
      <c r="AB295" s="214">
        <v>0</v>
      </c>
      <c r="AC295" s="125">
        <f t="shared" si="47"/>
        <v>0</v>
      </c>
      <c r="AD295" s="125">
        <f>IF(Valores!$C$29*B295&gt;Valores!$F$29,Valores!$F$29,Valores!$C$29*B295)</f>
        <v>1730.69</v>
      </c>
      <c r="AE295" s="192">
        <v>0</v>
      </c>
      <c r="AF295" s="125">
        <f>ROUND(AE295*Valores!$C$2,2)</f>
        <v>0</v>
      </c>
      <c r="AG295" s="125">
        <f>IF($F$4="NO",IF(Valores!$D$64*'Escala Docente'!B295&gt;Valores!$F$64,Valores!$F$64,Valores!$D$64*'Escala Docente'!B295),IF(Valores!$D$64*'Escala Docente'!B295&gt;Valores!$F$64,Valores!$F$64,Valores!$D$64*'Escala Docente'!B295)/2)</f>
        <v>39572.54</v>
      </c>
      <c r="AH295" s="125">
        <f>SUM(F295,H295,J295,L295,M295,N295,O295,P295,Q295,R295,T295,U295,V295,X295,Y295,Z295,AA295,AC295,AD295,AF295,AG295)*Valores!$C$104</f>
        <v>66357.935</v>
      </c>
      <c r="AI295" s="125">
        <f t="shared" si="50"/>
        <v>729937.2849999999</v>
      </c>
      <c r="AJ295" s="125">
        <f>IF(Valores!$C$33*B295&gt;Valores!$F$33,Valores!$F$33,Valores!$C$33*B295)</f>
        <v>70000</v>
      </c>
      <c r="AK295" s="125">
        <v>0</v>
      </c>
      <c r="AL295" s="125">
        <f>IF(Valores!$C$92*B295&gt;Valores!$C$91,Valores!$C$91,Valores!$C$92*B295)</f>
        <v>0</v>
      </c>
      <c r="AM295" s="125">
        <f>IF(Valores!C$40*B295&gt;Valores!F$39,Valores!F$39,Valores!C$40*B295)</f>
        <v>0</v>
      </c>
      <c r="AN295" s="125">
        <f>IF($F$3="NO",0,IF(Valores!$C$63*B295&gt;Valores!$F$63,Valores!$F$63,Valores!$C$63*B295))</f>
        <v>0</v>
      </c>
      <c r="AO295" s="125">
        <f t="shared" si="48"/>
        <v>70000</v>
      </c>
      <c r="AP295" s="125">
        <f>AI295*Valores!$C$72</f>
        <v>-80293.10135</v>
      </c>
      <c r="AQ295" s="125">
        <f>IF(AI295&lt;Valores!$E$73,-0.02,IF(AI295&lt;Valores!$F$73,-0.03,-0.04))*AI295</f>
        <v>-14598.7457</v>
      </c>
      <c r="AR295" s="125">
        <f>AI295*Valores!$C$75</f>
        <v>-40146.550675</v>
      </c>
      <c r="AS295" s="125">
        <f>Valores!$C$102</f>
        <v>-1270.16</v>
      </c>
      <c r="AT295" s="125">
        <f>IF($F$5=0,Valores!$C$103,(Valores!$C$103+$F$5*(Valores!$C$103)))</f>
        <v>-11714</v>
      </c>
      <c r="AU295" s="125">
        <f t="shared" si="51"/>
        <v>651914.727275</v>
      </c>
      <c r="AV295" s="125">
        <f t="shared" si="45"/>
        <v>-80293.10135</v>
      </c>
      <c r="AW295" s="125">
        <f t="shared" si="52"/>
        <v>-14598.7457</v>
      </c>
      <c r="AX295" s="125">
        <f>AI295*Valores!$C$76</f>
        <v>-19708.306695</v>
      </c>
      <c r="AY295" s="125">
        <f>AI295*Valores!$C$77</f>
        <v>-2189.811855</v>
      </c>
      <c r="AZ295" s="125">
        <f t="shared" si="49"/>
        <v>683147.3193999999</v>
      </c>
      <c r="BA295" s="125">
        <f>AI295*Valores!$C$79</f>
        <v>116789.9656</v>
      </c>
      <c r="BB295" s="125">
        <f>AI295*Valores!$C$80</f>
        <v>51095.60995</v>
      </c>
      <c r="BC295" s="125">
        <f>AI295*Valores!$C$81</f>
        <v>7299.37285</v>
      </c>
      <c r="BD295" s="125">
        <f>AI295*Valores!$C$83</f>
        <v>25547.804975</v>
      </c>
      <c r="BE295" s="125">
        <f>AI295*Valores!$C$85</f>
        <v>39416.61339</v>
      </c>
      <c r="BF295" s="125">
        <f>AI295*Valores!$C$84</f>
        <v>4379.62371</v>
      </c>
      <c r="BG295" s="126"/>
      <c r="BH295" s="126">
        <f t="shared" si="54"/>
        <v>35</v>
      </c>
      <c r="BI295" s="123" t="s">
        <v>8</v>
      </c>
    </row>
    <row r="296" spans="1:61" s="110" customFormat="1" ht="11.25" customHeight="1">
      <c r="A296" s="123" t="s">
        <v>466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5"/>
        <v>2765</v>
      </c>
      <c r="F296" s="125">
        <f>ROUND(E296*Valores!$C$2,2)</f>
        <v>228886.7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76989.34</v>
      </c>
      <c r="N296" s="125">
        <f t="shared" si="46"/>
        <v>0</v>
      </c>
      <c r="O296" s="125">
        <f>Valores!$C$7*B296</f>
        <v>98250.25</v>
      </c>
      <c r="P296" s="125">
        <f>ROUND(IF(B296&lt;15,(Valores!$E$5*B296),Valores!$D$5),2)</f>
        <v>42317.14</v>
      </c>
      <c r="Q296" s="125">
        <v>0</v>
      </c>
      <c r="R296" s="125">
        <f>IF($F$4="NO",IF(Valores!$C$50*B296&gt;Valores!$F$47,Valores!$F$47,Valores!$C$50*B296),IF(Valores!$C$50*B296&gt;Valores!$F$47,Valores!$F$47,Valores!$C$50*B296)/2)</f>
        <v>48169.84</v>
      </c>
      <c r="S296" s="125">
        <f>Valores!$C$18*B296</f>
        <v>30900.8</v>
      </c>
      <c r="T296" s="125">
        <f t="shared" si="53"/>
        <v>30900.8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IF(Valores!$C$99*B296&gt;Valores!$C$98,Valores!$C$98,Valores!$C$99*B296)</f>
        <v>94334.45</v>
      </c>
      <c r="AA296" s="125">
        <f>IF((Valores!$C$28)*B296&gt;Valores!$F$28,Valores!$F$28,(Valores!$C$28)*B296)</f>
        <v>2427.6</v>
      </c>
      <c r="AB296" s="214">
        <v>0</v>
      </c>
      <c r="AC296" s="125">
        <f t="shared" si="47"/>
        <v>0</v>
      </c>
      <c r="AD296" s="125">
        <f>IF(Valores!$C$29*B296&gt;Valores!$F$29,Valores!$F$29,Valores!$C$29*B296)</f>
        <v>1730.69</v>
      </c>
      <c r="AE296" s="192">
        <v>94</v>
      </c>
      <c r="AF296" s="125">
        <f>ROUND(AE296*Valores!$C$2,2)</f>
        <v>7781.32</v>
      </c>
      <c r="AG296" s="125">
        <f>IF($F$4="NO",IF(Valores!$D$64*'Escala Docente'!B296&gt;Valores!$F$64,Valores!$F$64,Valores!$D$64*'Escala Docente'!B296),IF(Valores!$D$64*'Escala Docente'!B296&gt;Valores!$F$64,Valores!$F$64,Valores!$D$64*'Escala Docente'!B296)/2)</f>
        <v>39572.54</v>
      </c>
      <c r="AH296" s="125">
        <f>SUM(F296,H296,J296,L296,M296,N296,O296,P296,Q296,R296,T296,U296,V296,X296,Y296,Z296,AA296,AC296,AD296,AF296,AG296)*Valores!$C$104</f>
        <v>67136.067</v>
      </c>
      <c r="AI296" s="125">
        <f t="shared" si="50"/>
        <v>738496.737</v>
      </c>
      <c r="AJ296" s="125">
        <f>IF(Valores!$C$33*B296&gt;Valores!$F$33,Valores!$F$33,Valores!$C$33*B296)</f>
        <v>70000</v>
      </c>
      <c r="AK296" s="125">
        <v>0</v>
      </c>
      <c r="AL296" s="125">
        <f>IF(Valores!$C$92*B296&gt;Valores!$C$91,Valores!$C$91,Valores!$C$92*B296)</f>
        <v>0</v>
      </c>
      <c r="AM296" s="125">
        <f>IF(Valores!C$40*B296&gt;Valores!F$39,Valores!F$39,Valores!C$40*B296)</f>
        <v>0</v>
      </c>
      <c r="AN296" s="125">
        <f>IF($F$3="NO",0,IF(Valores!$C$63*B296&gt;Valores!$F$63,Valores!$F$63,Valores!$C$63*B296))</f>
        <v>0</v>
      </c>
      <c r="AO296" s="125">
        <f t="shared" si="48"/>
        <v>70000</v>
      </c>
      <c r="AP296" s="125">
        <f>AI296*Valores!$C$72</f>
        <v>-81234.64107</v>
      </c>
      <c r="AQ296" s="125">
        <f>IF(AI296&lt;Valores!$E$73,-0.02,IF(AI296&lt;Valores!$F$73,-0.03,-0.04))*AI296</f>
        <v>-14769.934739999999</v>
      </c>
      <c r="AR296" s="125">
        <f>AI296*Valores!$C$75</f>
        <v>-40617.320535</v>
      </c>
      <c r="AS296" s="125">
        <f>Valores!$C$102</f>
        <v>-1270.16</v>
      </c>
      <c r="AT296" s="125">
        <f>IF($F$5=0,Valores!$C$103,(Valores!$C$103+$F$5*(Valores!$C$103)))</f>
        <v>-11714</v>
      </c>
      <c r="AU296" s="125">
        <f t="shared" si="51"/>
        <v>658890.680655</v>
      </c>
      <c r="AV296" s="125">
        <f t="shared" si="45"/>
        <v>-81234.64107</v>
      </c>
      <c r="AW296" s="125">
        <f t="shared" si="52"/>
        <v>-14769.934739999999</v>
      </c>
      <c r="AX296" s="125">
        <f>AI296*Valores!$C$76</f>
        <v>-19939.411899</v>
      </c>
      <c r="AY296" s="125">
        <f>AI296*Valores!$C$77</f>
        <v>-2215.490211</v>
      </c>
      <c r="AZ296" s="125">
        <f t="shared" si="49"/>
        <v>690337.25908</v>
      </c>
      <c r="BA296" s="125">
        <f>AI296*Valores!$C$79</f>
        <v>118159.47791999999</v>
      </c>
      <c r="BB296" s="125">
        <f>AI296*Valores!$C$80</f>
        <v>51694.771590000004</v>
      </c>
      <c r="BC296" s="125">
        <f>AI296*Valores!$C$81</f>
        <v>7384.967369999999</v>
      </c>
      <c r="BD296" s="125">
        <f>AI296*Valores!$C$83</f>
        <v>25847.385795000002</v>
      </c>
      <c r="BE296" s="125">
        <f>AI296*Valores!$C$85</f>
        <v>39878.823798</v>
      </c>
      <c r="BF296" s="125">
        <f>AI296*Valores!$C$84</f>
        <v>4430.980422</v>
      </c>
      <c r="BG296" s="126"/>
      <c r="BH296" s="126">
        <f t="shared" si="54"/>
        <v>35</v>
      </c>
      <c r="BI296" s="123" t="s">
        <v>8</v>
      </c>
    </row>
    <row r="297" spans="1:61" s="110" customFormat="1" ht="11.25" customHeight="1">
      <c r="A297" s="123" t="s">
        <v>466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5"/>
        <v>2844</v>
      </c>
      <c r="F297" s="125">
        <f>ROUND(E297*Valores!$C$2,2)</f>
        <v>235426.32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78844.96</v>
      </c>
      <c r="N297" s="125">
        <f t="shared" si="46"/>
        <v>0</v>
      </c>
      <c r="O297" s="125">
        <f>Valores!$C$7*B297</f>
        <v>101057.40000000001</v>
      </c>
      <c r="P297" s="125">
        <f>ROUND(IF(B297&lt;15,(Valores!$E$5*B297),Valores!$D$5),2)</f>
        <v>42317.14</v>
      </c>
      <c r="Q297" s="125">
        <v>0</v>
      </c>
      <c r="R297" s="125">
        <f>IF($F$4="NO",IF(Valores!$C$50*B297&gt;Valores!$F$47,Valores!$F$47,Valores!$C$50*B297),IF(Valores!$C$50*B297&gt;Valores!$F$47,Valores!$F$47,Valores!$C$50*B297)/2)</f>
        <v>48169.84</v>
      </c>
      <c r="S297" s="125">
        <f>Valores!$C$18*B297</f>
        <v>31783.68</v>
      </c>
      <c r="T297" s="125">
        <f t="shared" si="53"/>
        <v>31783.68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IF(Valores!$C$99*B297&gt;Valores!$C$98,Valores!$C$98,Valores!$C$99*B297)</f>
        <v>97029.72</v>
      </c>
      <c r="AA297" s="125">
        <f>IF((Valores!$C$28)*B297&gt;Valores!$F$28,Valores!$F$28,(Valores!$C$28)*B297)</f>
        <v>2434.81</v>
      </c>
      <c r="AB297" s="214">
        <v>0</v>
      </c>
      <c r="AC297" s="125">
        <f t="shared" si="47"/>
        <v>0</v>
      </c>
      <c r="AD297" s="125">
        <f>IF(Valores!$C$29*B297&gt;Valores!$F$29,Valores!$F$29,Valores!$C$29*B297)</f>
        <v>1730.69</v>
      </c>
      <c r="AE297" s="192">
        <v>0</v>
      </c>
      <c r="AF297" s="125">
        <f>ROUND(AE297*Valores!$C$2,2)</f>
        <v>0</v>
      </c>
      <c r="AG297" s="125">
        <f>IF($F$4="NO",IF(Valores!$D$64*'Escala Docente'!B297&gt;Valores!$F$64,Valores!$F$64,Valores!$D$64*'Escala Docente'!B297),IF(Valores!$D$64*'Escala Docente'!B297&gt;Valores!$F$64,Valores!$F$64,Valores!$D$64*'Escala Docente'!B297)/2)</f>
        <v>39572.54</v>
      </c>
      <c r="AH297" s="125">
        <f>SUM(F297,H297,J297,L297,M297,N297,O297,P297,Q297,R297,T297,U297,V297,X297,Y297,Z297,AA297,AC297,AD297,AF297,AG297)*Valores!$C$104</f>
        <v>67836.71</v>
      </c>
      <c r="AI297" s="125">
        <f t="shared" si="50"/>
        <v>746203.81</v>
      </c>
      <c r="AJ297" s="125">
        <f>IF(Valores!$C$33*B297&gt;Valores!$F$33,Valores!$F$33,Valores!$C$33*B297)</f>
        <v>70000</v>
      </c>
      <c r="AK297" s="125">
        <v>0</v>
      </c>
      <c r="AL297" s="125">
        <f>IF(Valores!$C$92*B297&gt;Valores!$C$91,Valores!$C$91,Valores!$C$92*B297)</f>
        <v>0</v>
      </c>
      <c r="AM297" s="125">
        <f>IF(Valores!C$40*B297&gt;Valores!F$39,Valores!F$39,Valores!C$40*B297)</f>
        <v>0</v>
      </c>
      <c r="AN297" s="125">
        <f>IF($F$3="NO",0,IF(Valores!$C$63*B297&gt;Valores!$F$63,Valores!$F$63,Valores!$C$63*B297))</f>
        <v>0</v>
      </c>
      <c r="AO297" s="125">
        <f t="shared" si="48"/>
        <v>70000</v>
      </c>
      <c r="AP297" s="125">
        <f>AI297*Valores!$C$72</f>
        <v>-82082.41910000001</v>
      </c>
      <c r="AQ297" s="125">
        <f>IF(AI297&lt;Valores!$E$73,-0.02,IF(AI297&lt;Valores!$F$73,-0.03,-0.04))*AI297</f>
        <v>-14924.076200000001</v>
      </c>
      <c r="AR297" s="125">
        <f>AI297*Valores!$C$75</f>
        <v>-41041.20955000001</v>
      </c>
      <c r="AS297" s="125">
        <f>Valores!$C$102</f>
        <v>-1270.16</v>
      </c>
      <c r="AT297" s="125">
        <f>IF($F$5=0,Valores!$C$103,(Valores!$C$103+$F$5*(Valores!$C$103)))</f>
        <v>-11714</v>
      </c>
      <c r="AU297" s="125">
        <f t="shared" si="51"/>
        <v>665171.94515</v>
      </c>
      <c r="AV297" s="125">
        <f t="shared" si="45"/>
        <v>-82082.41910000001</v>
      </c>
      <c r="AW297" s="125">
        <f t="shared" si="52"/>
        <v>-14924.076200000001</v>
      </c>
      <c r="AX297" s="125">
        <f>AI297*Valores!$C$76</f>
        <v>-20147.50287</v>
      </c>
      <c r="AY297" s="125">
        <f>AI297*Valores!$C$77</f>
        <v>-2238.6114300000004</v>
      </c>
      <c r="AZ297" s="125">
        <f t="shared" si="49"/>
        <v>696811.2004000001</v>
      </c>
      <c r="BA297" s="125">
        <f>AI297*Valores!$C$79</f>
        <v>119392.60960000001</v>
      </c>
      <c r="BB297" s="125">
        <f>AI297*Valores!$C$80</f>
        <v>52234.26670000001</v>
      </c>
      <c r="BC297" s="125">
        <f>AI297*Valores!$C$81</f>
        <v>7462.038100000001</v>
      </c>
      <c r="BD297" s="125">
        <f>AI297*Valores!$C$83</f>
        <v>26117.133350000004</v>
      </c>
      <c r="BE297" s="125">
        <f>AI297*Valores!$C$85</f>
        <v>40295.00574</v>
      </c>
      <c r="BF297" s="125">
        <f>AI297*Valores!$C$84</f>
        <v>4477.222860000001</v>
      </c>
      <c r="BG297" s="126"/>
      <c r="BH297" s="126">
        <f t="shared" si="54"/>
        <v>36</v>
      </c>
      <c r="BI297" s="123" t="s">
        <v>8</v>
      </c>
    </row>
    <row r="298" spans="1:61" s="110" customFormat="1" ht="11.25" customHeight="1">
      <c r="A298" s="123" t="s">
        <v>466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5"/>
        <v>2844</v>
      </c>
      <c r="F298" s="125">
        <f>ROUND(E298*Valores!$C$2,2)</f>
        <v>235426.32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78844.96</v>
      </c>
      <c r="N298" s="125">
        <f t="shared" si="46"/>
        <v>0</v>
      </c>
      <c r="O298" s="125">
        <f>Valores!$C$7*B298</f>
        <v>101057.40000000001</v>
      </c>
      <c r="P298" s="125">
        <f>ROUND(IF(B298&lt;15,(Valores!$E$5*B298),Valores!$D$5),2)</f>
        <v>42317.14</v>
      </c>
      <c r="Q298" s="125">
        <v>0</v>
      </c>
      <c r="R298" s="125">
        <f>IF($F$4="NO",IF(Valores!$C$50*B298&gt;Valores!$F$47,Valores!$F$47,Valores!$C$50*B298),IF(Valores!$C$50*B298&gt;Valores!$F$47,Valores!$F$47,Valores!$C$50*B298)/2)</f>
        <v>48169.84</v>
      </c>
      <c r="S298" s="125">
        <f>Valores!$C$18*B298</f>
        <v>31783.68</v>
      </c>
      <c r="T298" s="125">
        <f t="shared" si="53"/>
        <v>31783.68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IF(Valores!$C$99*B298&gt;Valores!$C$98,Valores!$C$98,Valores!$C$99*B298)</f>
        <v>97029.72</v>
      </c>
      <c r="AA298" s="125">
        <f>IF((Valores!$C$28)*B298&gt;Valores!$F$28,Valores!$F$28,(Valores!$C$28)*B298)</f>
        <v>2434.81</v>
      </c>
      <c r="AB298" s="214">
        <v>0</v>
      </c>
      <c r="AC298" s="125">
        <f t="shared" si="47"/>
        <v>0</v>
      </c>
      <c r="AD298" s="125">
        <f>IF(Valores!$C$29*B298&gt;Valores!$F$29,Valores!$F$29,Valores!$C$29*B298)</f>
        <v>1730.69</v>
      </c>
      <c r="AE298" s="192">
        <v>94</v>
      </c>
      <c r="AF298" s="125">
        <f>ROUND(AE298*Valores!$C$2,2)</f>
        <v>7781.32</v>
      </c>
      <c r="AG298" s="125">
        <f>IF($F$4="NO",IF(Valores!$D$64*'Escala Docente'!B298&gt;Valores!$F$64,Valores!$F$64,Valores!$D$64*'Escala Docente'!B298),IF(Valores!$D$64*'Escala Docente'!B298&gt;Valores!$F$64,Valores!$F$64,Valores!$D$64*'Escala Docente'!B298)/2)</f>
        <v>39572.54</v>
      </c>
      <c r="AH298" s="125">
        <f>SUM(F298,H298,J298,L298,M298,N298,O298,P298,Q298,R298,T298,U298,V298,X298,Y298,Z298,AA298,AC298,AD298,AF298,AG298)*Valores!$C$104</f>
        <v>68614.842</v>
      </c>
      <c r="AI298" s="125">
        <f t="shared" si="50"/>
        <v>754763.2620000001</v>
      </c>
      <c r="AJ298" s="125">
        <f>IF(Valores!$C$33*B298&gt;Valores!$F$33,Valores!$F$33,Valores!$C$33*B298)</f>
        <v>70000</v>
      </c>
      <c r="AK298" s="125">
        <v>0</v>
      </c>
      <c r="AL298" s="125">
        <f>IF(Valores!$C$92*B298&gt;Valores!$C$91,Valores!$C$91,Valores!$C$92*B298)</f>
        <v>0</v>
      </c>
      <c r="AM298" s="125">
        <f>IF(Valores!C$40*B298&gt;Valores!F$39,Valores!F$39,Valores!C$40*B298)</f>
        <v>0</v>
      </c>
      <c r="AN298" s="125">
        <f>IF($F$3="NO",0,IF(Valores!$C$63*B298&gt;Valores!$F$63,Valores!$F$63,Valores!$C$63*B298))</f>
        <v>0</v>
      </c>
      <c r="AO298" s="125">
        <f t="shared" si="48"/>
        <v>70000</v>
      </c>
      <c r="AP298" s="125">
        <f>AI298*Valores!$C$72</f>
        <v>-83023.95882000001</v>
      </c>
      <c r="AQ298" s="125">
        <f>IF(AI298&lt;Valores!$E$73,-0.02,IF(AI298&lt;Valores!$F$73,-0.03,-0.04))*AI298</f>
        <v>-15095.265240000002</v>
      </c>
      <c r="AR298" s="125">
        <f>AI298*Valores!$C$75</f>
        <v>-41511.97941000001</v>
      </c>
      <c r="AS298" s="125">
        <f>Valores!$C$102</f>
        <v>-1270.16</v>
      </c>
      <c r="AT298" s="125">
        <f>IF($F$5=0,Valores!$C$103,(Valores!$C$103+$F$5*(Valores!$C$103)))</f>
        <v>-11714</v>
      </c>
      <c r="AU298" s="125">
        <f t="shared" si="51"/>
        <v>672147.8985300001</v>
      </c>
      <c r="AV298" s="125">
        <f t="shared" si="45"/>
        <v>-83023.95882000001</v>
      </c>
      <c r="AW298" s="125">
        <f t="shared" si="52"/>
        <v>-15095.265240000002</v>
      </c>
      <c r="AX298" s="125">
        <f>AI298*Valores!$C$76</f>
        <v>-20378.608074000003</v>
      </c>
      <c r="AY298" s="125">
        <f>AI298*Valores!$C$77</f>
        <v>-2264.2897860000003</v>
      </c>
      <c r="AZ298" s="125">
        <f t="shared" si="49"/>
        <v>704001.14008</v>
      </c>
      <c r="BA298" s="125">
        <f>AI298*Valores!$C$79</f>
        <v>120762.12192000002</v>
      </c>
      <c r="BB298" s="125">
        <f>AI298*Valores!$C$80</f>
        <v>52833.42834000001</v>
      </c>
      <c r="BC298" s="125">
        <f>AI298*Valores!$C$81</f>
        <v>7547.632620000001</v>
      </c>
      <c r="BD298" s="125">
        <f>AI298*Valores!$C$83</f>
        <v>26416.714170000007</v>
      </c>
      <c r="BE298" s="125">
        <f>AI298*Valores!$C$85</f>
        <v>40757.21614800001</v>
      </c>
      <c r="BF298" s="125">
        <f>AI298*Valores!$C$84</f>
        <v>4528.579572000001</v>
      </c>
      <c r="BG298" s="126"/>
      <c r="BH298" s="126">
        <f t="shared" si="54"/>
        <v>36</v>
      </c>
      <c r="BI298" s="123" t="s">
        <v>8</v>
      </c>
    </row>
    <row r="299" spans="1:61" s="110" customFormat="1" ht="11.25" customHeight="1">
      <c r="A299" s="123" t="s">
        <v>467</v>
      </c>
      <c r="B299" s="123">
        <v>1</v>
      </c>
      <c r="C299" s="126">
        <v>292</v>
      </c>
      <c r="D299" s="124" t="s">
        <v>468</v>
      </c>
      <c r="E299" s="192">
        <v>79</v>
      </c>
      <c r="F299" s="125">
        <f>ROUND(E299*Valores!$C$2,2)</f>
        <v>6539.62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2225.29</v>
      </c>
      <c r="N299" s="125">
        <f t="shared" si="46"/>
        <v>0</v>
      </c>
      <c r="O299" s="125">
        <f>Valores!$C$7*B299</f>
        <v>2807.15</v>
      </c>
      <c r="P299" s="125">
        <f>ROUND(IF(B299&lt;15,(Valores!$E$5*B299),Valores!$D$5),2)</f>
        <v>2821.14</v>
      </c>
      <c r="Q299" s="125">
        <v>0</v>
      </c>
      <c r="R299" s="125">
        <f>IF($F$4="NO",IF(Valores!$C$50*B299&gt;Valores!$F$47,Valores!$F$47,Valores!$C$50*B299),IF(Valores!$C$50*B299&gt;Valores!$F$47,Valores!$F$47,Valores!$C$50*B299)/2)</f>
        <v>1478.65</v>
      </c>
      <c r="S299" s="125">
        <f>Valores!$C$18*B299</f>
        <v>882.88</v>
      </c>
      <c r="T299" s="125">
        <f t="shared" si="53"/>
        <v>882.88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IF(Valores!$C$99*B299&gt;Valores!$C$98,Valores!$C$98,Valores!$C$99*B299)</f>
        <v>2695.27</v>
      </c>
      <c r="AA299" s="125">
        <f>IF((Valores!$C$28)*B299&gt;Valores!$F$28,Valores!$F$28,(Valores!$C$28)*B299)</f>
        <v>69.36</v>
      </c>
      <c r="AB299" s="214">
        <v>0</v>
      </c>
      <c r="AC299" s="125">
        <f t="shared" si="47"/>
        <v>0</v>
      </c>
      <c r="AD299" s="125">
        <f>IF(Valores!$C$29*B299&gt;Valores!$F$29,Valores!$F$29,Valores!$C$29*B299)</f>
        <v>57.76</v>
      </c>
      <c r="AE299" s="192">
        <v>0</v>
      </c>
      <c r="AF299" s="125">
        <f>ROUND(AE299*Valores!$C$2,2)</f>
        <v>0</v>
      </c>
      <c r="AG299" s="125">
        <f>IF($F$4="NO",IF(Valores!$D$64*'Escala Docente'!B299&gt;Valores!$F$64,Valores!$F$64,Valores!$D$64*'Escala Docente'!B299),IF(Valores!$D$64*'Escala Docente'!B299&gt;Valores!$F$64,Valores!$F$64,Valores!$D$64*'Escala Docente'!B299)/2)</f>
        <v>1319.08</v>
      </c>
      <c r="AH299" s="125">
        <f>SUM(F299,H299,J299,L299,M299,N299,O299,P299,Q299,R299,T299,U299,V299,X299,Y299,Z299,AA299,AC299,AD299,AF299,AG299)*Valores!$C$104</f>
        <v>2089.62</v>
      </c>
      <c r="AI299" s="125">
        <f t="shared" si="50"/>
        <v>22985.819999999996</v>
      </c>
      <c r="AJ299" s="125">
        <f>IF(Valores!$C$33*B299&gt;Valores!$F$33,Valores!$F$33,Valores!$C$33*B299)</f>
        <v>2333.33333333333</v>
      </c>
      <c r="AK299" s="125">
        <v>0</v>
      </c>
      <c r="AL299" s="125">
        <f>IF(Valores!$C$92*B299&gt;Valores!$C$91,Valores!$C$91,Valores!$C$92*B299)</f>
        <v>0</v>
      </c>
      <c r="AM299" s="125">
        <f>IF(Valores!C$40*B299&gt;Valores!F$39,Valores!F$39,Valores!C$40*B299)</f>
        <v>0</v>
      </c>
      <c r="AN299" s="125">
        <f>IF($F$3="NO",0,IF(Valores!$C$63*B299&gt;Valores!$F$63,Valores!$F$63,Valores!$C$63*B299))</f>
        <v>0</v>
      </c>
      <c r="AO299" s="125">
        <f t="shared" si="48"/>
        <v>2333.33333333333</v>
      </c>
      <c r="AP299" s="125">
        <f>AI299*Valores!$C$72</f>
        <v>-2528.4401999999995</v>
      </c>
      <c r="AQ299" s="125">
        <f>IF(AI299&lt;Valores!$E$73,-0.02,IF(AI299&lt;Valores!$F$73,-0.03,-0.04))*AI299</f>
        <v>-459.7163999999999</v>
      </c>
      <c r="AR299" s="125">
        <f>AI299*Valores!$C$75</f>
        <v>-1264.2200999999998</v>
      </c>
      <c r="AS299" s="125">
        <f>Valores!$C$102</f>
        <v>-1270.16</v>
      </c>
      <c r="AT299" s="125">
        <f>IF($F$5=0,Valores!$C$103,(Valores!$C$103+$F$5*(Valores!$C$103)))</f>
        <v>-11714</v>
      </c>
      <c r="AU299" s="125">
        <f t="shared" si="51"/>
        <v>8082.616633333328</v>
      </c>
      <c r="AV299" s="125">
        <f t="shared" si="45"/>
        <v>-2528.4401999999995</v>
      </c>
      <c r="AW299" s="125">
        <f t="shared" si="52"/>
        <v>-459.7163999999999</v>
      </c>
      <c r="AX299" s="125">
        <f>AI299*Valores!$C$76</f>
        <v>-620.6171399999998</v>
      </c>
      <c r="AY299" s="125">
        <f>AI299*Valores!$C$77</f>
        <v>-68.95745999999998</v>
      </c>
      <c r="AZ299" s="125">
        <f t="shared" si="49"/>
        <v>21641.422133333326</v>
      </c>
      <c r="BA299" s="125">
        <f>AI299*Valores!$C$79</f>
        <v>3677.7311999999993</v>
      </c>
      <c r="BB299" s="125">
        <f>AI299*Valores!$C$80</f>
        <v>1609.0074</v>
      </c>
      <c r="BC299" s="125">
        <f>AI299*Valores!$C$81</f>
        <v>229.85819999999995</v>
      </c>
      <c r="BD299" s="125">
        <f>AI299*Valores!$C$83</f>
        <v>804.5037</v>
      </c>
      <c r="BE299" s="125">
        <f>AI299*Valores!$C$85</f>
        <v>1241.2342799999997</v>
      </c>
      <c r="BF299" s="125">
        <f>AI299*Valores!$C$84</f>
        <v>137.91491999999997</v>
      </c>
      <c r="BG299" s="126"/>
      <c r="BH299" s="126">
        <f t="shared" si="54"/>
        <v>1</v>
      </c>
      <c r="BI299" s="123" t="s">
        <v>4</v>
      </c>
    </row>
    <row r="300" spans="1:61" s="110" customFormat="1" ht="11.25" customHeight="1">
      <c r="A300" s="123" t="s">
        <v>469</v>
      </c>
      <c r="B300" s="123">
        <v>2</v>
      </c>
      <c r="C300" s="126">
        <v>293</v>
      </c>
      <c r="D300" s="124" t="s">
        <v>470</v>
      </c>
      <c r="E300" s="194">
        <v>243</v>
      </c>
      <c r="F300" s="125">
        <f>ROUND(E300*Valores!$C$2,2)</f>
        <v>20115.54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6"/>
        <v>0</v>
      </c>
      <c r="O300" s="125">
        <v>0</v>
      </c>
      <c r="P300" s="125">
        <f>ROUND(IF(B300&lt;15,(Valores!$E$5*B300),Valores!$D$5),2)</f>
        <v>5642.28</v>
      </c>
      <c r="Q300" s="125">
        <v>0</v>
      </c>
      <c r="R300" s="125">
        <f>IF($F$4="NO",Valores!C51,Valores!C51/2)</f>
        <v>2198.42</v>
      </c>
      <c r="S300" s="125">
        <v>0</v>
      </c>
      <c r="T300" s="125">
        <f aca="true" t="shared" si="56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Valores!$C$100</f>
        <v>5794.46</v>
      </c>
      <c r="AA300" s="125">
        <v>0</v>
      </c>
      <c r="AB300" s="214">
        <v>0</v>
      </c>
      <c r="AC300" s="125">
        <f t="shared" si="47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IF($F$4="NO",Valores!$C$65,Valores!$C$65/2)</f>
        <v>1992.18</v>
      </c>
      <c r="AH300" s="125">
        <f>SUM(F300,H300,J300,L300,M300,N300,O300,P300,Q300,R300,T300,U300,V300,X300,Y300,Z300,AA300,AC300,AD300,AF300,AG300)*Valores!$C$104</f>
        <v>3574.288</v>
      </c>
      <c r="AI300" s="125">
        <f t="shared" si="50"/>
        <v>39317.168</v>
      </c>
      <c r="AJ300" s="125">
        <f>Valores!$C$34</f>
        <v>4666.666666666667</v>
      </c>
      <c r="AK300" s="125">
        <v>0</v>
      </c>
      <c r="AL300" s="125">
        <f>Valores!$C$93</f>
        <v>0</v>
      </c>
      <c r="AM300" s="125">
        <f>AM299*2</f>
        <v>0</v>
      </c>
      <c r="AN300" s="125">
        <v>0</v>
      </c>
      <c r="AO300" s="125">
        <f t="shared" si="48"/>
        <v>4666.666666666667</v>
      </c>
      <c r="AP300" s="125">
        <f>AI300*Valores!$C$72</f>
        <v>-4324.88848</v>
      </c>
      <c r="AQ300" s="125">
        <f>IF(AI300&lt;Valores!$E$73,-0.02,IF(AI300&lt;Valores!$F$73,-0.03,-0.04))*AI300</f>
        <v>-786.34336</v>
      </c>
      <c r="AR300" s="125">
        <f>AI300*Valores!$C$75</f>
        <v>-2162.44424</v>
      </c>
      <c r="AS300" s="125">
        <f>Valores!$C$102</f>
        <v>-1270.16</v>
      </c>
      <c r="AT300" s="125">
        <f>IF($F$5=0,Valores!$C$103,(Valores!$C$103+$F$5*(Valores!$C$103)))</f>
        <v>-11714</v>
      </c>
      <c r="AU300" s="125">
        <f t="shared" si="51"/>
        <v>23725.998586666665</v>
      </c>
      <c r="AV300" s="125">
        <f t="shared" si="45"/>
        <v>-4324.88848</v>
      </c>
      <c r="AW300" s="125">
        <f t="shared" si="52"/>
        <v>-786.34336</v>
      </c>
      <c r="AX300" s="125">
        <f>AI300*Valores!$C$76</f>
        <v>-1061.5635359999999</v>
      </c>
      <c r="AY300" s="125">
        <f>AI300*Valores!$C$77</f>
        <v>-117.951504</v>
      </c>
      <c r="AZ300" s="125">
        <f t="shared" si="49"/>
        <v>37693.08778666666</v>
      </c>
      <c r="BA300" s="125">
        <f>AI300*Valores!$C$79</f>
        <v>6290.74688</v>
      </c>
      <c r="BB300" s="125">
        <f>AI300*Valores!$C$80</f>
        <v>2752.20176</v>
      </c>
      <c r="BC300" s="125">
        <f>AI300*Valores!$C$81</f>
        <v>393.17168</v>
      </c>
      <c r="BD300" s="125">
        <f>AI300*Valores!$C$83</f>
        <v>1376.10088</v>
      </c>
      <c r="BE300" s="125">
        <f>AI300*Valores!$C$85</f>
        <v>2123.1270719999998</v>
      </c>
      <c r="BF300" s="125">
        <f>AI300*Valores!$C$84</f>
        <v>235.903008</v>
      </c>
      <c r="BG300" s="126"/>
      <c r="BH300" s="126">
        <v>8</v>
      </c>
      <c r="BI300" s="123" t="s">
        <v>4</v>
      </c>
    </row>
    <row r="301" spans="1:61" s="110" customFormat="1" ht="11.25" customHeight="1">
      <c r="A301" s="123" t="s">
        <v>645</v>
      </c>
      <c r="B301" s="123">
        <v>1</v>
      </c>
      <c r="C301" s="126">
        <v>294</v>
      </c>
      <c r="D301" s="124" t="s">
        <v>646</v>
      </c>
      <c r="E301" s="194">
        <f>E300/2</f>
        <v>121.5</v>
      </c>
      <c r="F301" s="125">
        <f>ROUND(E301*Valores!$C$2,2)</f>
        <v>10057.77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6"/>
        <v>0</v>
      </c>
      <c r="O301" s="125">
        <v>0</v>
      </c>
      <c r="P301" s="125">
        <f>ROUND(IF(B301&lt;15,(Valores!$E$5*B301),Valores!$D$5),2)-0.01</f>
        <v>2821.1299999999997</v>
      </c>
      <c r="Q301" s="125">
        <v>0</v>
      </c>
      <c r="R301" s="125">
        <f>IF($F$4="NO",Valores!C52,Valores!C52/2)</f>
        <v>1099.21</v>
      </c>
      <c r="S301" s="125">
        <v>0</v>
      </c>
      <c r="T301" s="125">
        <f t="shared" si="56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Valores!$C$101</f>
        <v>2897.23</v>
      </c>
      <c r="AA301" s="125">
        <v>0</v>
      </c>
      <c r="AB301" s="214">
        <v>0</v>
      </c>
      <c r="AC301" s="125">
        <f t="shared" si="47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IF($F$4="NO",Valores!$C$66,Valores!$C$66/2)</f>
        <v>996.09</v>
      </c>
      <c r="AH301" s="125">
        <f>SUM(F301,H301,J301,L301,M301,N301,O301,P301,Q301,R301,T301,U301,V301,X301,Y301,Z301,AA301,AC301,AD301,AF301,AG301)*Valores!$C$104</f>
        <v>1787.143</v>
      </c>
      <c r="AI301" s="125">
        <f t="shared" si="50"/>
        <v>19658.573</v>
      </c>
      <c r="AJ301" s="125">
        <f>Valores!C35</f>
        <v>2333.3333333333335</v>
      </c>
      <c r="AK301" s="125">
        <v>0</v>
      </c>
      <c r="AL301" s="125">
        <f>Valores!$C$94</f>
        <v>0</v>
      </c>
      <c r="AM301" s="125">
        <f>AM300/2</f>
        <v>0</v>
      </c>
      <c r="AN301" s="125">
        <v>0</v>
      </c>
      <c r="AO301" s="125">
        <f t="shared" si="48"/>
        <v>2333.3333333333335</v>
      </c>
      <c r="AP301" s="125">
        <f>AI301*Valores!$C$72</f>
        <v>-2162.44303</v>
      </c>
      <c r="AQ301" s="125">
        <f>IF(AI301&lt;Valores!$E$73,-0.02,IF(AI301&lt;Valores!$F$73,-0.03,-0.04))*AI301</f>
        <v>-393.17146</v>
      </c>
      <c r="AR301" s="125">
        <f>AI301*Valores!$C$75</f>
        <v>-1081.221515</v>
      </c>
      <c r="AS301" s="125">
        <f>Valores!$C$102</f>
        <v>-1270.16</v>
      </c>
      <c r="AT301" s="125">
        <f>IF($F$5=0,Valores!$C$103,(Valores!$C$103+$F$5*(Valores!$C$103)))</f>
        <v>-11714</v>
      </c>
      <c r="AU301" s="125">
        <f t="shared" si="51"/>
        <v>5370.910328333333</v>
      </c>
      <c r="AV301" s="125">
        <f>AP301</f>
        <v>-2162.44303</v>
      </c>
      <c r="AW301" s="125">
        <f t="shared" si="52"/>
        <v>-393.17146</v>
      </c>
      <c r="AX301" s="125">
        <f>AI301*Valores!$C$76</f>
        <v>-530.781471</v>
      </c>
      <c r="AY301" s="125">
        <f>AI301*Valores!$C$77</f>
        <v>-58.975719000000005</v>
      </c>
      <c r="AZ301" s="125">
        <f t="shared" si="49"/>
        <v>18846.534653333332</v>
      </c>
      <c r="BA301" s="125">
        <f>AI301*Valores!$C$79</f>
        <v>3145.37168</v>
      </c>
      <c r="BB301" s="125">
        <f>AI301*Valores!$C$80</f>
        <v>1376.10011</v>
      </c>
      <c r="BC301" s="125">
        <f>AI301*Valores!$C$81</f>
        <v>196.58573</v>
      </c>
      <c r="BD301" s="125">
        <f>AI301*Valores!$C$83</f>
        <v>688.050055</v>
      </c>
      <c r="BE301" s="125">
        <f>AI301*Valores!$C$85</f>
        <v>1061.562942</v>
      </c>
      <c r="BF301" s="125">
        <f>AI301*Valores!$C$84</f>
        <v>117.95143800000001</v>
      </c>
      <c r="BG301" s="126"/>
      <c r="BH301" s="126">
        <v>4</v>
      </c>
      <c r="BI301" s="123" t="s">
        <v>4</v>
      </c>
    </row>
    <row r="302" spans="1:1029" s="142" customFormat="1" ht="11.25" customHeight="1">
      <c r="A302" s="140"/>
      <c r="B302" s="141">
        <v>1</v>
      </c>
      <c r="C302" s="126">
        <v>295</v>
      </c>
      <c r="D302" s="127" t="s">
        <v>471</v>
      </c>
      <c r="E302" s="194">
        <v>700</v>
      </c>
      <c r="F302" s="125">
        <f>ROUND(E302*Valores!$C$2,2)</f>
        <v>57946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20031.44</v>
      </c>
      <c r="N302" s="125">
        <f t="shared" si="46"/>
        <v>0</v>
      </c>
      <c r="O302" s="125">
        <v>0</v>
      </c>
      <c r="P302" s="125">
        <v>0</v>
      </c>
      <c r="Q302" s="125">
        <v>0</v>
      </c>
      <c r="R302" s="125">
        <f>IF($F$4="NO",Valores!$C$50*15,Valores!$C$50*15/2)</f>
        <v>22179.75</v>
      </c>
      <c r="S302" s="125">
        <v>0</v>
      </c>
      <c r="T302" s="125">
        <f t="shared" si="56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7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>SUM(F302,H302,J302,L302,M302,N302,O302,P302,Q302,R302,T302,U302,V302,X302,Y302,Z302,AA302,AC302,AD302,AF302,AG302)*Valores!$C$104</f>
        <v>10015.719000000001</v>
      </c>
      <c r="AI302" s="125">
        <f t="shared" si="50"/>
        <v>110172.909</v>
      </c>
      <c r="AJ302" s="125">
        <v>0</v>
      </c>
      <c r="AK302" s="125">
        <v>0</v>
      </c>
      <c r="AL302" s="125">
        <v>0</v>
      </c>
      <c r="AM302" s="125">
        <v>0</v>
      </c>
      <c r="AN302" s="125">
        <v>0</v>
      </c>
      <c r="AO302" s="125">
        <f t="shared" si="48"/>
        <v>0</v>
      </c>
      <c r="AP302" s="125">
        <f>AI302*Valores!$C$72</f>
        <v>-12119.01999</v>
      </c>
      <c r="AQ302" s="125">
        <f>IF(AI302&lt;Valores!$E$73,-0.02,IF(AI302&lt;Valores!$F$73,-0.03,-0.04))*AI302</f>
        <v>-2203.45818</v>
      </c>
      <c r="AR302" s="125">
        <f>AI302*Valores!$C$75</f>
        <v>-6059.509995</v>
      </c>
      <c r="AS302" s="125">
        <v>0</v>
      </c>
      <c r="AT302" s="125">
        <v>0</v>
      </c>
      <c r="AU302" s="125">
        <f t="shared" si="51"/>
        <v>89790.920835</v>
      </c>
      <c r="AV302" s="125">
        <f t="shared" si="45"/>
        <v>-12119.01999</v>
      </c>
      <c r="AW302" s="125">
        <f t="shared" si="52"/>
        <v>-2203.45818</v>
      </c>
      <c r="AX302" s="125">
        <f>AI302*Valores!$C$76</f>
        <v>-2974.6685429999998</v>
      </c>
      <c r="AY302" s="125">
        <f>AI302*Valores!$C$77</f>
        <v>-330.518727</v>
      </c>
      <c r="AZ302" s="125">
        <f t="shared" si="49"/>
        <v>92545.24356</v>
      </c>
      <c r="BA302" s="125">
        <f>AI302*Valores!$C$79</f>
        <v>17627.66544</v>
      </c>
      <c r="BB302" s="125">
        <f>AI302*Valores!$C$80</f>
        <v>7712.1036300000005</v>
      </c>
      <c r="BC302" s="125">
        <f>AI302*Valores!$C$81</f>
        <v>1101.72909</v>
      </c>
      <c r="BD302" s="125">
        <f>AI302*Valores!$C$83</f>
        <v>3856.0518150000003</v>
      </c>
      <c r="BE302" s="125">
        <f>AI302*Valores!$C$85</f>
        <v>5949.3370859999995</v>
      </c>
      <c r="BF302" s="125">
        <f>AI302*Valores!$C$84</f>
        <v>661.037454</v>
      </c>
      <c r="BG302" s="126"/>
      <c r="BH302" s="126"/>
      <c r="BI302" s="123" t="s">
        <v>4</v>
      </c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  <c r="AMG302" s="110"/>
      <c r="AMH302" s="110"/>
      <c r="AMI302" s="110"/>
      <c r="AMJ302" s="110"/>
      <c r="AMK302" s="110"/>
      <c r="AML302" s="110"/>
      <c r="AMM302" s="110"/>
      <c r="AMN302" s="110"/>
      <c r="AMO302" s="110"/>
    </row>
    <row r="303" spans="1:1029" s="142" customFormat="1" ht="11.25" customHeight="1">
      <c r="A303" s="126"/>
      <c r="B303" s="141">
        <v>1</v>
      </c>
      <c r="C303" s="126">
        <v>296</v>
      </c>
      <c r="D303" s="127" t="s">
        <v>472</v>
      </c>
      <c r="E303" s="194">
        <v>500</v>
      </c>
      <c r="F303" s="125">
        <f>ROUND(E303*Valores!$C$2,2)</f>
        <v>41390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14044.13</v>
      </c>
      <c r="N303" s="125">
        <f t="shared" si="46"/>
        <v>0</v>
      </c>
      <c r="O303" s="125">
        <v>0</v>
      </c>
      <c r="P303" s="125">
        <v>0</v>
      </c>
      <c r="Q303" s="125">
        <v>0</v>
      </c>
      <c r="R303" s="125">
        <f>IF($F$4="NO",Valores!$C$50*10,Valores!$C$50*10/2)</f>
        <v>14786.5</v>
      </c>
      <c r="S303" s="125">
        <v>0</v>
      </c>
      <c r="T303" s="125">
        <f t="shared" si="56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7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>SUM(F303,H303,J303,L303,M303,N303,O303,P303,Q303,R303,T303,U303,V303,X303,Y303,Z303,AA303,AC303,AD303,AF303,AG303)*Valores!$C$104</f>
        <v>7022.063000000001</v>
      </c>
      <c r="AI303" s="125">
        <f t="shared" si="50"/>
        <v>77242.693</v>
      </c>
      <c r="AJ303" s="125">
        <v>0</v>
      </c>
      <c r="AK303" s="125">
        <v>0</v>
      </c>
      <c r="AL303" s="125">
        <v>0</v>
      </c>
      <c r="AM303" s="125">
        <v>0</v>
      </c>
      <c r="AN303" s="125">
        <v>0</v>
      </c>
      <c r="AO303" s="125">
        <f t="shared" si="48"/>
        <v>0</v>
      </c>
      <c r="AP303" s="125">
        <f>AI303*Valores!$C$72</f>
        <v>-8496.69623</v>
      </c>
      <c r="AQ303" s="125">
        <f>IF(AI303&lt;Valores!$E$73,-0.02,IF(AI303&lt;Valores!$F$73,-0.03,-0.04))*AI303</f>
        <v>-1544.85386</v>
      </c>
      <c r="AR303" s="125">
        <f>AI303*Valores!$C$75</f>
        <v>-4248.348115</v>
      </c>
      <c r="AS303" s="125">
        <v>0</v>
      </c>
      <c r="AT303" s="125">
        <v>0</v>
      </c>
      <c r="AU303" s="125">
        <f t="shared" si="51"/>
        <v>62952.794795</v>
      </c>
      <c r="AV303" s="125">
        <f t="shared" si="45"/>
        <v>-8496.69623</v>
      </c>
      <c r="AW303" s="125">
        <f t="shared" si="52"/>
        <v>-1544.85386</v>
      </c>
      <c r="AX303" s="125">
        <f>AI303*Valores!$C$76</f>
        <v>-2085.552711</v>
      </c>
      <c r="AY303" s="125">
        <f>AI303*Valores!$C$77</f>
        <v>-231.728079</v>
      </c>
      <c r="AZ303" s="125">
        <f t="shared" si="49"/>
        <v>64883.86212</v>
      </c>
      <c r="BA303" s="125">
        <f>AI303*Valores!$C$79</f>
        <v>12358.83088</v>
      </c>
      <c r="BB303" s="125">
        <f>AI303*Valores!$C$80</f>
        <v>5406.98851</v>
      </c>
      <c r="BC303" s="125">
        <f>AI303*Valores!$C$81</f>
        <v>772.42693</v>
      </c>
      <c r="BD303" s="125">
        <f>AI303*Valores!$C$83</f>
        <v>2703.494255</v>
      </c>
      <c r="BE303" s="125">
        <f>AI303*Valores!$C$85</f>
        <v>4171.105422</v>
      </c>
      <c r="BF303" s="125">
        <f>AI303*Valores!$C$84</f>
        <v>463.456158</v>
      </c>
      <c r="BG303" s="126"/>
      <c r="BH303" s="126"/>
      <c r="BI303" s="123" t="s">
        <v>4</v>
      </c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  <c r="AMG303" s="110"/>
      <c r="AMH303" s="110"/>
      <c r="AMI303" s="110"/>
      <c r="AMJ303" s="110"/>
      <c r="AMK303" s="110"/>
      <c r="AML303" s="110"/>
      <c r="AMM303" s="110"/>
      <c r="AMN303" s="110"/>
      <c r="AMO303" s="110"/>
    </row>
    <row r="304" spans="1:1029" s="142" customFormat="1" ht="11.25" customHeight="1">
      <c r="A304" s="123"/>
      <c r="B304" s="141">
        <v>1</v>
      </c>
      <c r="C304" s="126">
        <v>297</v>
      </c>
      <c r="D304" s="127" t="s">
        <v>473</v>
      </c>
      <c r="E304" s="194">
        <v>300</v>
      </c>
      <c r="F304" s="125">
        <f>ROUND(E304*Valores!$C$2,2)</f>
        <v>24834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8056.81</v>
      </c>
      <c r="N304" s="125">
        <f t="shared" si="46"/>
        <v>0</v>
      </c>
      <c r="O304" s="125">
        <v>0</v>
      </c>
      <c r="P304" s="125">
        <v>0</v>
      </c>
      <c r="Q304" s="125">
        <v>0</v>
      </c>
      <c r="R304" s="125">
        <f>IF($F$4="NO",Valores!$C$50*5,Valores!$C$50*5/2)</f>
        <v>7393.25</v>
      </c>
      <c r="S304" s="125">
        <v>0</v>
      </c>
      <c r="T304" s="125">
        <f t="shared" si="56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7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>SUM(F304,H304,J304,L304,M304,N304,O304,P304,Q304,R304,T304,U304,V304,X304,Y304,Z304,AA304,AC304,AD304,AF304,AG304)*Valores!$C$104</f>
        <v>4028.406</v>
      </c>
      <c r="AI304" s="125">
        <f t="shared" si="50"/>
        <v>44312.466</v>
      </c>
      <c r="AJ304" s="125">
        <v>0</v>
      </c>
      <c r="AK304" s="125">
        <v>0</v>
      </c>
      <c r="AL304" s="125">
        <v>0</v>
      </c>
      <c r="AM304" s="125">
        <v>0</v>
      </c>
      <c r="AN304" s="125">
        <v>0</v>
      </c>
      <c r="AO304" s="125">
        <f t="shared" si="48"/>
        <v>0</v>
      </c>
      <c r="AP304" s="125">
        <f>AI304*Valores!$C$72</f>
        <v>-4874.37126</v>
      </c>
      <c r="AQ304" s="125">
        <f>IF(AI304&lt;Valores!$E$73,-0.02,IF(AI304&lt;Valores!$F$73,-0.03,-0.04))*AI304</f>
        <v>-886.24932</v>
      </c>
      <c r="AR304" s="125">
        <f>AI304*Valores!$C$75</f>
        <v>-2437.18563</v>
      </c>
      <c r="AS304" s="125">
        <v>0</v>
      </c>
      <c r="AT304" s="125">
        <v>0</v>
      </c>
      <c r="AU304" s="125">
        <f t="shared" si="51"/>
        <v>36114.659790000005</v>
      </c>
      <c r="AV304" s="125">
        <f t="shared" si="45"/>
        <v>-4874.37126</v>
      </c>
      <c r="AW304" s="125">
        <f t="shared" si="52"/>
        <v>-886.24932</v>
      </c>
      <c r="AX304" s="125">
        <f>AI304*Valores!$C$76</f>
        <v>-1196.436582</v>
      </c>
      <c r="AY304" s="125">
        <f>AI304*Valores!$C$77</f>
        <v>-132.937398</v>
      </c>
      <c r="AZ304" s="125">
        <f t="shared" si="49"/>
        <v>37222.47144</v>
      </c>
      <c r="BA304" s="125">
        <f>AI304*Valores!$C$79</f>
        <v>7089.99456</v>
      </c>
      <c r="BB304" s="125">
        <f>AI304*Valores!$C$80</f>
        <v>3101.87262</v>
      </c>
      <c r="BC304" s="125">
        <f>AI304*Valores!$C$81</f>
        <v>443.12466</v>
      </c>
      <c r="BD304" s="125">
        <f>AI304*Valores!$C$83</f>
        <v>1550.93631</v>
      </c>
      <c r="BE304" s="125">
        <f>AI304*Valores!$C$85</f>
        <v>2392.873164</v>
      </c>
      <c r="BF304" s="125">
        <f>AI304*Valores!$C$84</f>
        <v>265.874796</v>
      </c>
      <c r="BG304" s="126"/>
      <c r="BH304" s="126"/>
      <c r="BI304" s="123" t="s">
        <v>4</v>
      </c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  <c r="AMG304" s="110"/>
      <c r="AMH304" s="110"/>
      <c r="AMI304" s="110"/>
      <c r="AMJ304" s="110"/>
      <c r="AMK304" s="110"/>
      <c r="AML304" s="110"/>
      <c r="AMM304" s="110"/>
      <c r="AMN304" s="110"/>
      <c r="AMO304" s="110"/>
    </row>
    <row r="305" spans="1:1029" s="142" customFormat="1" ht="11.25" customHeight="1">
      <c r="A305" s="126"/>
      <c r="B305" s="141">
        <v>1</v>
      </c>
      <c r="C305" s="126">
        <v>298</v>
      </c>
      <c r="D305" s="127" t="s">
        <v>474</v>
      </c>
      <c r="E305" s="194">
        <v>155</v>
      </c>
      <c r="F305" s="125">
        <f>ROUND(E305*Valores!$C$2,2)</f>
        <v>12830.9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3577.39</v>
      </c>
      <c r="N305" s="125">
        <f t="shared" si="46"/>
        <v>0</v>
      </c>
      <c r="O305" s="125">
        <v>0</v>
      </c>
      <c r="P305" s="125">
        <v>0</v>
      </c>
      <c r="Q305" s="125">
        <v>0</v>
      </c>
      <c r="R305" s="125">
        <f>IF($F$4="NO",IF(Valores!$C$50*B305&gt;Valores!$C$47,Valores!$C$47,Valores!$C$50*B305),IF(Valores!$C$50*B305&gt;Valores!$C$47,Valores!$C$47,Valores!$C$50*B305)/2)</f>
        <v>1478.65</v>
      </c>
      <c r="S305" s="125">
        <v>0</v>
      </c>
      <c r="T305" s="125">
        <f t="shared" si="56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7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>SUM(F305,H305,J305,L305,M305,N305,O305,P305,Q305,R305,T305,U305,V305,X305,Y305,Z305,AA305,AC305,AD305,AF305,AG305)*Valores!$C$104</f>
        <v>1788.6940000000004</v>
      </c>
      <c r="AI305" s="125">
        <f t="shared" si="50"/>
        <v>19675.634000000002</v>
      </c>
      <c r="AJ305" s="125">
        <v>0</v>
      </c>
      <c r="AK305" s="125">
        <v>0</v>
      </c>
      <c r="AL305" s="125">
        <v>0</v>
      </c>
      <c r="AM305" s="125">
        <v>0</v>
      </c>
      <c r="AN305" s="125">
        <v>0</v>
      </c>
      <c r="AO305" s="125">
        <f t="shared" si="48"/>
        <v>0</v>
      </c>
      <c r="AP305" s="125">
        <f>AI305*Valores!$C$72</f>
        <v>-2164.3197400000004</v>
      </c>
      <c r="AQ305" s="125">
        <f>IF(AI305&lt;Valores!$E$73,-0.02,IF(AI305&lt;Valores!$F$73,-0.03,-0.04))*AI305</f>
        <v>-393.51268000000005</v>
      </c>
      <c r="AR305" s="125">
        <f>AI305*Valores!$C$75</f>
        <v>-1082.1598700000002</v>
      </c>
      <c r="AS305" s="125">
        <v>0</v>
      </c>
      <c r="AT305" s="125">
        <v>0</v>
      </c>
      <c r="AU305" s="125">
        <f t="shared" si="51"/>
        <v>16035.64171</v>
      </c>
      <c r="AV305" s="125">
        <f t="shared" si="45"/>
        <v>-2164.3197400000004</v>
      </c>
      <c r="AW305" s="125">
        <f t="shared" si="52"/>
        <v>-393.51268000000005</v>
      </c>
      <c r="AX305" s="125">
        <f>AI305*Valores!$C$76</f>
        <v>-531.242118</v>
      </c>
      <c r="AY305" s="125">
        <f>AI305*Valores!$C$77</f>
        <v>-59.02690200000001</v>
      </c>
      <c r="AZ305" s="125">
        <f t="shared" si="49"/>
        <v>16527.53256</v>
      </c>
      <c r="BA305" s="125">
        <f>AI305*Valores!$C$79</f>
        <v>3148.1014400000004</v>
      </c>
      <c r="BB305" s="125">
        <f>AI305*Valores!$C$80</f>
        <v>1377.2943800000003</v>
      </c>
      <c r="BC305" s="125">
        <f>AI305*Valores!$C$81</f>
        <v>196.75634000000002</v>
      </c>
      <c r="BD305" s="125">
        <f>AI305*Valores!$C$83</f>
        <v>688.6471900000001</v>
      </c>
      <c r="BE305" s="125">
        <f>AI305*Valores!$C$85</f>
        <v>1062.484236</v>
      </c>
      <c r="BF305" s="125">
        <f>AI305*Valores!$C$84</f>
        <v>118.05380400000001</v>
      </c>
      <c r="BG305" s="126"/>
      <c r="BH305" s="126"/>
      <c r="BI305" s="123" t="s">
        <v>4</v>
      </c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  <c r="AMG305" s="110"/>
      <c r="AMH305" s="110"/>
      <c r="AMI305" s="110"/>
      <c r="AMJ305" s="110"/>
      <c r="AMK305" s="110"/>
      <c r="AML305" s="110"/>
      <c r="AMM305" s="110"/>
      <c r="AMN305" s="110"/>
      <c r="AMO305" s="110"/>
    </row>
    <row r="306" spans="1:1029" s="142" customFormat="1" ht="11.25" customHeight="1">
      <c r="A306" s="123"/>
      <c r="B306" s="141">
        <v>2</v>
      </c>
      <c r="C306" s="126">
        <v>299</v>
      </c>
      <c r="D306" s="127" t="s">
        <v>475</v>
      </c>
      <c r="E306" s="194">
        <f aca="true" t="shared" si="57" ref="E306:E320">155+E305</f>
        <v>310</v>
      </c>
      <c r="F306" s="125">
        <f>ROUND(E306*Valores!$C$2,2)</f>
        <v>25661.8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7154.78</v>
      </c>
      <c r="N306" s="125">
        <f t="shared" si="46"/>
        <v>0</v>
      </c>
      <c r="O306" s="125">
        <v>0</v>
      </c>
      <c r="P306" s="125">
        <v>0</v>
      </c>
      <c r="Q306" s="125">
        <v>0</v>
      </c>
      <c r="R306" s="125">
        <f>IF($F$4="NO",IF(Valores!$C$50*B306&gt;Valores!$C$47,Valores!$C$47,Valores!$C$50*B306),IF(Valores!$C$50*B306&gt;Valores!$C$47,Valores!$C$47,Valores!$C$50*B306)/2)</f>
        <v>2957.3</v>
      </c>
      <c r="S306" s="125">
        <v>0</v>
      </c>
      <c r="T306" s="125">
        <f t="shared" si="56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7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>SUM(F306,H306,J306,L306,M306,N306,O306,P306,Q306,R306,T306,U306,V306,X306,Y306,Z306,AA306,AC306,AD306,AF306,AG306)*Valores!$C$104</f>
        <v>3577.388000000001</v>
      </c>
      <c r="AI306" s="125">
        <f t="shared" si="50"/>
        <v>39351.268000000004</v>
      </c>
      <c r="AJ306" s="125">
        <v>0</v>
      </c>
      <c r="AK306" s="125">
        <v>0</v>
      </c>
      <c r="AL306" s="125">
        <v>0</v>
      </c>
      <c r="AM306" s="125">
        <v>0</v>
      </c>
      <c r="AN306" s="125">
        <v>0</v>
      </c>
      <c r="AO306" s="125">
        <f t="shared" si="48"/>
        <v>0</v>
      </c>
      <c r="AP306" s="125">
        <f>AI306*Valores!$C$72</f>
        <v>-4328.639480000001</v>
      </c>
      <c r="AQ306" s="125">
        <f>IF(AI306&lt;Valores!$E$73,-0.02,IF(AI306&lt;Valores!$F$73,-0.03,-0.04))*AI306</f>
        <v>-787.0253600000001</v>
      </c>
      <c r="AR306" s="125">
        <f>AI306*Valores!$C$75</f>
        <v>-2164.3197400000004</v>
      </c>
      <c r="AS306" s="125">
        <v>0</v>
      </c>
      <c r="AT306" s="125">
        <v>0</v>
      </c>
      <c r="AU306" s="125">
        <f t="shared" si="51"/>
        <v>32071.28342</v>
      </c>
      <c r="AV306" s="125">
        <f t="shared" si="45"/>
        <v>-4328.639480000001</v>
      </c>
      <c r="AW306" s="125">
        <f t="shared" si="52"/>
        <v>-787.0253600000001</v>
      </c>
      <c r="AX306" s="125">
        <f>AI306*Valores!$C$76</f>
        <v>-1062.484236</v>
      </c>
      <c r="AY306" s="125">
        <f>AI306*Valores!$C$77</f>
        <v>-118.05380400000001</v>
      </c>
      <c r="AZ306" s="125">
        <f t="shared" si="49"/>
        <v>33055.06512</v>
      </c>
      <c r="BA306" s="125">
        <f>AI306*Valores!$C$79</f>
        <v>6296.202880000001</v>
      </c>
      <c r="BB306" s="125">
        <f>AI306*Valores!$C$80</f>
        <v>2754.5887600000005</v>
      </c>
      <c r="BC306" s="125">
        <f>AI306*Valores!$C$81</f>
        <v>393.51268000000005</v>
      </c>
      <c r="BD306" s="125">
        <f>AI306*Valores!$C$83</f>
        <v>1377.2943800000003</v>
      </c>
      <c r="BE306" s="125">
        <f>AI306*Valores!$C$85</f>
        <v>2124.968472</v>
      </c>
      <c r="BF306" s="125">
        <f>AI306*Valores!$C$84</f>
        <v>236.10760800000003</v>
      </c>
      <c r="BG306" s="126"/>
      <c r="BH306" s="126"/>
      <c r="BI306" s="123" t="s">
        <v>4</v>
      </c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  <c r="AMG306" s="110"/>
      <c r="AMH306" s="110"/>
      <c r="AMI306" s="110"/>
      <c r="AMJ306" s="110"/>
      <c r="AMK306" s="110"/>
      <c r="AML306" s="110"/>
      <c r="AMM306" s="110"/>
      <c r="AMN306" s="110"/>
      <c r="AMO306" s="110"/>
    </row>
    <row r="307" spans="1:1029" s="142" customFormat="1" ht="11.25" customHeight="1">
      <c r="A307" s="123"/>
      <c r="B307" s="141">
        <v>3</v>
      </c>
      <c r="C307" s="126">
        <v>300</v>
      </c>
      <c r="D307" s="127" t="s">
        <v>476</v>
      </c>
      <c r="E307" s="194">
        <f t="shared" si="57"/>
        <v>465</v>
      </c>
      <c r="F307" s="125">
        <f>ROUND(E307*Valores!$C$2,2)</f>
        <v>38492.7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10732.16</v>
      </c>
      <c r="N307" s="125">
        <f t="shared" si="46"/>
        <v>0</v>
      </c>
      <c r="O307" s="125">
        <v>0</v>
      </c>
      <c r="P307" s="125">
        <v>0</v>
      </c>
      <c r="Q307" s="125">
        <v>0</v>
      </c>
      <c r="R307" s="125">
        <f>IF($F$4="NO",IF(Valores!$C$50*B307&gt;Valores!$C$47,Valores!$C$47,Valores!$C$50*B307),IF(Valores!$C$50*B307&gt;Valores!$C$47,Valores!$C$47,Valores!$C$50*B307)/2)</f>
        <v>4435.950000000001</v>
      </c>
      <c r="S307" s="125">
        <v>0</v>
      </c>
      <c r="T307" s="125">
        <f t="shared" si="56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7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>SUM(F307,H307,J307,L307,M307,N307,O307,P307,Q307,R307,T307,U307,V307,X307,Y307,Z307,AA307,AC307,AD307,AF307,AG307)*Valores!$C$104</f>
        <v>5366.081</v>
      </c>
      <c r="AI307" s="125">
        <f t="shared" si="50"/>
        <v>59026.890999999996</v>
      </c>
      <c r="AJ307" s="125">
        <v>0</v>
      </c>
      <c r="AK307" s="125">
        <v>0</v>
      </c>
      <c r="AL307" s="125">
        <v>0</v>
      </c>
      <c r="AM307" s="125">
        <v>0</v>
      </c>
      <c r="AN307" s="125">
        <v>0</v>
      </c>
      <c r="AO307" s="125">
        <f t="shared" si="48"/>
        <v>0</v>
      </c>
      <c r="AP307" s="125">
        <f>AI307*Valores!$C$72</f>
        <v>-6492.958009999999</v>
      </c>
      <c r="AQ307" s="125">
        <f>IF(AI307&lt;Valores!$E$73,-0.02,IF(AI307&lt;Valores!$F$73,-0.03,-0.04))*AI307</f>
        <v>-1180.53782</v>
      </c>
      <c r="AR307" s="125">
        <f>AI307*Valores!$C$75</f>
        <v>-3246.4790049999997</v>
      </c>
      <c r="AS307" s="125">
        <v>0</v>
      </c>
      <c r="AT307" s="125">
        <v>0</v>
      </c>
      <c r="AU307" s="125">
        <f t="shared" si="51"/>
        <v>48106.916164999995</v>
      </c>
      <c r="AV307" s="125">
        <f t="shared" si="45"/>
        <v>-6492.958009999999</v>
      </c>
      <c r="AW307" s="125">
        <f t="shared" si="52"/>
        <v>-1180.53782</v>
      </c>
      <c r="AX307" s="125">
        <f>AI307*Valores!$C$76</f>
        <v>-1593.7260569999999</v>
      </c>
      <c r="AY307" s="125">
        <f>AI307*Valores!$C$77</f>
        <v>-177.080673</v>
      </c>
      <c r="AZ307" s="125">
        <f t="shared" si="49"/>
        <v>49582.58843999999</v>
      </c>
      <c r="BA307" s="125">
        <f>AI307*Valores!$C$79</f>
        <v>9444.30256</v>
      </c>
      <c r="BB307" s="125">
        <f>AI307*Valores!$C$80</f>
        <v>4131.88237</v>
      </c>
      <c r="BC307" s="125">
        <f>AI307*Valores!$C$81</f>
        <v>590.26891</v>
      </c>
      <c r="BD307" s="125">
        <f>AI307*Valores!$C$83</f>
        <v>2065.941185</v>
      </c>
      <c r="BE307" s="125">
        <f>AI307*Valores!$C$85</f>
        <v>3187.4521139999997</v>
      </c>
      <c r="BF307" s="125">
        <f>AI307*Valores!$C$84</f>
        <v>354.161346</v>
      </c>
      <c r="BG307" s="126"/>
      <c r="BH307" s="126"/>
      <c r="BI307" s="123" t="s">
        <v>4</v>
      </c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  <c r="AMG307" s="110"/>
      <c r="AMH307" s="110"/>
      <c r="AMI307" s="110"/>
      <c r="AMJ307" s="110"/>
      <c r="AMK307" s="110"/>
      <c r="AML307" s="110"/>
      <c r="AMM307" s="110"/>
      <c r="AMN307" s="110"/>
      <c r="AMO307" s="110"/>
    </row>
    <row r="308" spans="1:1029" s="142" customFormat="1" ht="11.25" customHeight="1">
      <c r="A308" s="123"/>
      <c r="B308" s="141">
        <v>4</v>
      </c>
      <c r="C308" s="126">
        <v>301</v>
      </c>
      <c r="D308" s="127" t="s">
        <v>477</v>
      </c>
      <c r="E308" s="194">
        <f t="shared" si="57"/>
        <v>620</v>
      </c>
      <c r="F308" s="125">
        <f>ROUND(E308*Valores!$C$2,2)</f>
        <v>51323.6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14309.55</v>
      </c>
      <c r="N308" s="125">
        <f t="shared" si="46"/>
        <v>0</v>
      </c>
      <c r="O308" s="125">
        <v>0</v>
      </c>
      <c r="P308" s="125">
        <v>0</v>
      </c>
      <c r="Q308" s="125">
        <v>0</v>
      </c>
      <c r="R308" s="125">
        <f>IF($F$4="NO",IF(Valores!$C$50*B308&gt;Valores!$C$47,Valores!$C$47,Valores!$C$50*B308),IF(Valores!$C$50*B308&gt;Valores!$C$47,Valores!$C$47,Valores!$C$50*B308)/2)</f>
        <v>5914.6</v>
      </c>
      <c r="S308" s="125">
        <v>0</v>
      </c>
      <c r="T308" s="125">
        <f t="shared" si="56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7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>SUM(F308,H308,J308,L308,M308,N308,O308,P308,Q308,R308,T308,U308,V308,X308,Y308,Z308,AA308,AC308,AD308,AF308,AG308)*Valores!$C$104</f>
        <v>7154.775000000001</v>
      </c>
      <c r="AI308" s="125">
        <f t="shared" si="50"/>
        <v>78702.525</v>
      </c>
      <c r="AJ308" s="125">
        <v>0</v>
      </c>
      <c r="AK308" s="125">
        <v>0</v>
      </c>
      <c r="AL308" s="125">
        <v>0</v>
      </c>
      <c r="AM308" s="125">
        <v>0</v>
      </c>
      <c r="AN308" s="125">
        <v>0</v>
      </c>
      <c r="AO308" s="125">
        <f t="shared" si="48"/>
        <v>0</v>
      </c>
      <c r="AP308" s="125">
        <f>AI308*Valores!$C$72</f>
        <v>-8657.27775</v>
      </c>
      <c r="AQ308" s="125">
        <f>IF(AI308&lt;Valores!$E$73,-0.02,IF(AI308&lt;Valores!$F$73,-0.03,-0.04))*AI308</f>
        <v>-1574.0504999999998</v>
      </c>
      <c r="AR308" s="125">
        <f>AI308*Valores!$C$75</f>
        <v>-4328.638875</v>
      </c>
      <c r="AS308" s="125">
        <v>0</v>
      </c>
      <c r="AT308" s="125">
        <v>0</v>
      </c>
      <c r="AU308" s="125">
        <f t="shared" si="51"/>
        <v>64142.557875</v>
      </c>
      <c r="AV308" s="125">
        <f t="shared" si="45"/>
        <v>-8657.27775</v>
      </c>
      <c r="AW308" s="125">
        <f t="shared" si="52"/>
        <v>-1574.0504999999998</v>
      </c>
      <c r="AX308" s="125">
        <f>AI308*Valores!$C$76</f>
        <v>-2124.968175</v>
      </c>
      <c r="AY308" s="125">
        <f>AI308*Valores!$C$77</f>
        <v>-236.107575</v>
      </c>
      <c r="AZ308" s="125">
        <f t="shared" si="49"/>
        <v>66110.121</v>
      </c>
      <c r="BA308" s="125">
        <f>AI308*Valores!$C$79</f>
        <v>12592.403999999999</v>
      </c>
      <c r="BB308" s="125">
        <f>AI308*Valores!$C$80</f>
        <v>5509.1767500000005</v>
      </c>
      <c r="BC308" s="125">
        <f>AI308*Valores!$C$81</f>
        <v>787.0252499999999</v>
      </c>
      <c r="BD308" s="125">
        <f>AI308*Valores!$C$83</f>
        <v>2754.5883750000003</v>
      </c>
      <c r="BE308" s="125">
        <f>AI308*Valores!$C$85</f>
        <v>4249.93635</v>
      </c>
      <c r="BF308" s="125">
        <f>AI308*Valores!$C$84</f>
        <v>472.21515</v>
      </c>
      <c r="BG308" s="126"/>
      <c r="BH308" s="126"/>
      <c r="BI308" s="123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  <c r="AMG308" s="110"/>
      <c r="AMH308" s="110"/>
      <c r="AMI308" s="110"/>
      <c r="AMJ308" s="110"/>
      <c r="AMK308" s="110"/>
      <c r="AML308" s="110"/>
      <c r="AMM308" s="110"/>
      <c r="AMN308" s="110"/>
      <c r="AMO308" s="110"/>
    </row>
    <row r="309" spans="1:1029" s="142" customFormat="1" ht="11.25" customHeight="1">
      <c r="A309" s="123"/>
      <c r="B309" s="141">
        <v>5</v>
      </c>
      <c r="C309" s="126">
        <v>302</v>
      </c>
      <c r="D309" s="127" t="s">
        <v>478</v>
      </c>
      <c r="E309" s="194">
        <f t="shared" si="57"/>
        <v>775</v>
      </c>
      <c r="F309" s="125">
        <f>ROUND(E309*Valores!$C$2,2)</f>
        <v>64154.5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17886.94</v>
      </c>
      <c r="N309" s="125">
        <f t="shared" si="46"/>
        <v>0</v>
      </c>
      <c r="O309" s="125">
        <v>0</v>
      </c>
      <c r="P309" s="125">
        <v>0</v>
      </c>
      <c r="Q309" s="125">
        <v>0</v>
      </c>
      <c r="R309" s="125">
        <f>IF($F$4="NO",IF(Valores!$C$50*B309&gt;Valores!$C$47,Valores!$C$47,Valores!$C$50*B309),IF(Valores!$C$50*B309&gt;Valores!$C$47,Valores!$C$47,Valores!$C$50*B309)/2)</f>
        <v>7393.25</v>
      </c>
      <c r="S309" s="125">
        <v>0</v>
      </c>
      <c r="T309" s="125">
        <f t="shared" si="56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7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>SUM(F309,H309,J309,L309,M309,N309,O309,P309,Q309,R309,T309,U309,V309,X309,Y309,Z309,AA309,AC309,AD309,AF309,AG309)*Valores!$C$104</f>
        <v>8943.469000000001</v>
      </c>
      <c r="AI309" s="125">
        <f t="shared" si="50"/>
        <v>98378.159</v>
      </c>
      <c r="AJ309" s="125">
        <v>0</v>
      </c>
      <c r="AK309" s="125">
        <v>0</v>
      </c>
      <c r="AL309" s="125">
        <v>0</v>
      </c>
      <c r="AM309" s="125">
        <v>0</v>
      </c>
      <c r="AN309" s="125">
        <v>0</v>
      </c>
      <c r="AO309" s="125">
        <f t="shared" si="48"/>
        <v>0</v>
      </c>
      <c r="AP309" s="125">
        <f>AI309*Valores!$C$72</f>
        <v>-10821.59749</v>
      </c>
      <c r="AQ309" s="125">
        <f>IF(AI309&lt;Valores!$E$73,-0.02,IF(AI309&lt;Valores!$F$73,-0.03,-0.04))*AI309</f>
        <v>-1967.56318</v>
      </c>
      <c r="AR309" s="125">
        <f>AI309*Valores!$C$75</f>
        <v>-5410.798745</v>
      </c>
      <c r="AS309" s="125">
        <v>0</v>
      </c>
      <c r="AT309" s="125">
        <v>0</v>
      </c>
      <c r="AU309" s="125">
        <f t="shared" si="51"/>
        <v>80178.199585</v>
      </c>
      <c r="AV309" s="125">
        <f t="shared" si="45"/>
        <v>-10821.59749</v>
      </c>
      <c r="AW309" s="125">
        <f t="shared" si="52"/>
        <v>-1967.56318</v>
      </c>
      <c r="AX309" s="125">
        <f>AI309*Valores!$C$76</f>
        <v>-2656.210293</v>
      </c>
      <c r="AY309" s="125">
        <f>AI309*Valores!$C$77</f>
        <v>-295.134477</v>
      </c>
      <c r="AZ309" s="125">
        <f t="shared" si="49"/>
        <v>82637.65356</v>
      </c>
      <c r="BA309" s="125">
        <f>AI309*Valores!$C$79</f>
        <v>15740.50544</v>
      </c>
      <c r="BB309" s="125">
        <f>AI309*Valores!$C$80</f>
        <v>6886.471130000001</v>
      </c>
      <c r="BC309" s="125">
        <f>AI309*Valores!$C$81</f>
        <v>983.78159</v>
      </c>
      <c r="BD309" s="125">
        <f>AI309*Valores!$C$83</f>
        <v>3443.2355650000004</v>
      </c>
      <c r="BE309" s="125">
        <f>AI309*Valores!$C$85</f>
        <v>5312.420586</v>
      </c>
      <c r="BF309" s="125">
        <f>AI309*Valores!$C$84</f>
        <v>590.268954</v>
      </c>
      <c r="BG309" s="126"/>
      <c r="BH309" s="126"/>
      <c r="BI309" s="123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  <c r="AMG309" s="110"/>
      <c r="AMH309" s="110"/>
      <c r="AMI309" s="110"/>
      <c r="AMJ309" s="110"/>
      <c r="AMK309" s="110"/>
      <c r="AML309" s="110"/>
      <c r="AMM309" s="110"/>
      <c r="AMN309" s="110"/>
      <c r="AMO309" s="110"/>
    </row>
    <row r="310" spans="1:1029" s="142" customFormat="1" ht="11.25" customHeight="1">
      <c r="A310" s="123"/>
      <c r="B310" s="141">
        <v>6</v>
      </c>
      <c r="C310" s="126">
        <v>303</v>
      </c>
      <c r="D310" s="127" t="s">
        <v>479</v>
      </c>
      <c r="E310" s="194">
        <f t="shared" si="57"/>
        <v>930</v>
      </c>
      <c r="F310" s="125">
        <f>ROUND(E310*Valores!$C$2,2)</f>
        <v>76985.4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21464.33</v>
      </c>
      <c r="N310" s="125">
        <f t="shared" si="46"/>
        <v>0</v>
      </c>
      <c r="O310" s="125">
        <v>0</v>
      </c>
      <c r="P310" s="125">
        <v>0</v>
      </c>
      <c r="Q310" s="125">
        <v>0</v>
      </c>
      <c r="R310" s="125">
        <f>IF($F$4="NO",IF(Valores!$C$50*B310&gt;Valores!$C$47,Valores!$C$47,Valores!$C$50*B310),IF(Valores!$C$50*B310&gt;Valores!$C$47,Valores!$C$47,Valores!$C$50*B310)/2)</f>
        <v>8871.900000000001</v>
      </c>
      <c r="S310" s="125">
        <v>0</v>
      </c>
      <c r="T310" s="125">
        <f t="shared" si="56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7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>SUM(F310,H310,J310,L310,M310,N310,O310,P310,Q310,R310,T310,U310,V310,X310,Y310,Z310,AA310,AC310,AD310,AF310,AG310)*Valores!$C$104</f>
        <v>10732.163</v>
      </c>
      <c r="AI310" s="125">
        <f t="shared" si="50"/>
        <v>118053.793</v>
      </c>
      <c r="AJ310" s="125">
        <v>0</v>
      </c>
      <c r="AK310" s="125">
        <v>0</v>
      </c>
      <c r="AL310" s="125">
        <v>0</v>
      </c>
      <c r="AM310" s="125">
        <v>0</v>
      </c>
      <c r="AN310" s="125">
        <v>0</v>
      </c>
      <c r="AO310" s="125">
        <f t="shared" si="48"/>
        <v>0</v>
      </c>
      <c r="AP310" s="125">
        <f>AI310*Valores!$C$72</f>
        <v>-12985.917230000001</v>
      </c>
      <c r="AQ310" s="125">
        <f>IF(AI310&lt;Valores!$E$73,-0.02,IF(AI310&lt;Valores!$F$73,-0.03,-0.04))*AI310</f>
        <v>-2361.0758600000004</v>
      </c>
      <c r="AR310" s="125">
        <f>AI310*Valores!$C$75</f>
        <v>-6492.9586150000005</v>
      </c>
      <c r="AS310" s="125">
        <v>0</v>
      </c>
      <c r="AT310" s="125">
        <v>0</v>
      </c>
      <c r="AU310" s="125">
        <f t="shared" si="51"/>
        <v>96213.841295</v>
      </c>
      <c r="AV310" s="125">
        <f t="shared" si="45"/>
        <v>-12985.917230000001</v>
      </c>
      <c r="AW310" s="125">
        <f t="shared" si="52"/>
        <v>-2361.0758600000004</v>
      </c>
      <c r="AX310" s="125">
        <f>AI310*Valores!$C$76</f>
        <v>-3187.452411</v>
      </c>
      <c r="AY310" s="125">
        <f>AI310*Valores!$C$77</f>
        <v>-354.161379</v>
      </c>
      <c r="AZ310" s="125">
        <f t="shared" si="49"/>
        <v>99165.18612</v>
      </c>
      <c r="BA310" s="125">
        <f>AI310*Valores!$C$79</f>
        <v>18888.606880000003</v>
      </c>
      <c r="BB310" s="125">
        <f>AI310*Valores!$C$80</f>
        <v>8263.765510000001</v>
      </c>
      <c r="BC310" s="125">
        <f>AI310*Valores!$C$81</f>
        <v>1180.5379300000002</v>
      </c>
      <c r="BD310" s="125">
        <f>AI310*Valores!$C$83</f>
        <v>4131.8827550000005</v>
      </c>
      <c r="BE310" s="125">
        <f>AI310*Valores!$C$85</f>
        <v>6374.904822</v>
      </c>
      <c r="BF310" s="125">
        <f>AI310*Valores!$C$84</f>
        <v>708.322758</v>
      </c>
      <c r="BG310" s="126"/>
      <c r="BH310" s="126"/>
      <c r="BI310" s="123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  <c r="AMG310" s="110"/>
      <c r="AMH310" s="110"/>
      <c r="AMI310" s="110"/>
      <c r="AMJ310" s="110"/>
      <c r="AMK310" s="110"/>
      <c r="AML310" s="110"/>
      <c r="AMM310" s="110"/>
      <c r="AMN310" s="110"/>
      <c r="AMO310" s="110"/>
    </row>
    <row r="311" spans="1:1029" s="142" customFormat="1" ht="11.25" customHeight="1">
      <c r="A311" s="123"/>
      <c r="B311" s="141">
        <v>7</v>
      </c>
      <c r="C311" s="126">
        <v>304</v>
      </c>
      <c r="D311" s="127" t="s">
        <v>480</v>
      </c>
      <c r="E311" s="194">
        <f t="shared" si="57"/>
        <v>1085</v>
      </c>
      <c r="F311" s="125">
        <f>ROUND(E311*Valores!$C$2,2)</f>
        <v>89816.3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25041.71</v>
      </c>
      <c r="N311" s="125">
        <f t="shared" si="46"/>
        <v>0</v>
      </c>
      <c r="O311" s="125">
        <v>0</v>
      </c>
      <c r="P311" s="125">
        <v>0</v>
      </c>
      <c r="Q311" s="125">
        <v>0</v>
      </c>
      <c r="R311" s="125">
        <f>IF($F$4="NO",IF(Valores!$C$50*B311&gt;Valores!$C$47,Valores!$C$47,Valores!$C$50*B311),IF(Valores!$C$50*B311&gt;Valores!$C$47,Valores!$C$47,Valores!$C$50*B311)/2)</f>
        <v>10350.550000000001</v>
      </c>
      <c r="S311" s="125">
        <v>0</v>
      </c>
      <c r="T311" s="125">
        <f t="shared" si="56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7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>SUM(F311,H311,J311,L311,M311,N311,O311,P311,Q311,R311,T311,U311,V311,X311,Y311,Z311,AA311,AC311,AD311,AF311,AG311)*Valores!$C$104</f>
        <v>12520.856000000002</v>
      </c>
      <c r="AI311" s="125">
        <f t="shared" si="50"/>
        <v>137729.41600000003</v>
      </c>
      <c r="AJ311" s="125">
        <v>0</v>
      </c>
      <c r="AK311" s="125">
        <v>0</v>
      </c>
      <c r="AL311" s="125">
        <v>0</v>
      </c>
      <c r="AM311" s="125">
        <v>0</v>
      </c>
      <c r="AN311" s="125">
        <v>0</v>
      </c>
      <c r="AO311" s="125">
        <f t="shared" si="48"/>
        <v>0</v>
      </c>
      <c r="AP311" s="125">
        <f>AI311*Valores!$C$72</f>
        <v>-15150.235760000003</v>
      </c>
      <c r="AQ311" s="125">
        <f>IF(AI311&lt;Valores!$E$73,-0.02,IF(AI311&lt;Valores!$F$73,-0.03,-0.04))*AI311</f>
        <v>-2754.5883200000007</v>
      </c>
      <c r="AR311" s="125">
        <f>AI311*Valores!$C$75</f>
        <v>-7575.117880000002</v>
      </c>
      <c r="AS311" s="125">
        <v>0</v>
      </c>
      <c r="AT311" s="125">
        <v>0</v>
      </c>
      <c r="AU311" s="125">
        <f t="shared" si="51"/>
        <v>112249.47404000002</v>
      </c>
      <c r="AV311" s="125">
        <f t="shared" si="45"/>
        <v>-15150.235760000003</v>
      </c>
      <c r="AW311" s="125">
        <f t="shared" si="52"/>
        <v>-2754.5883200000007</v>
      </c>
      <c r="AX311" s="125">
        <f>AI311*Valores!$C$76</f>
        <v>-3718.6942320000007</v>
      </c>
      <c r="AY311" s="125">
        <f>AI311*Valores!$C$77</f>
        <v>-413.1882480000001</v>
      </c>
      <c r="AZ311" s="125">
        <f t="shared" si="49"/>
        <v>115692.70944000002</v>
      </c>
      <c r="BA311" s="125">
        <f>AI311*Valores!$C$79</f>
        <v>22036.706560000006</v>
      </c>
      <c r="BB311" s="125">
        <f>AI311*Valores!$C$80</f>
        <v>9641.059120000004</v>
      </c>
      <c r="BC311" s="125">
        <f>AI311*Valores!$C$81</f>
        <v>1377.2941600000004</v>
      </c>
      <c r="BD311" s="125">
        <f>AI311*Valores!$C$83</f>
        <v>4820.529560000002</v>
      </c>
      <c r="BE311" s="125">
        <f>AI311*Valores!$C$85</f>
        <v>7437.3884640000015</v>
      </c>
      <c r="BF311" s="125">
        <f>AI311*Valores!$C$84</f>
        <v>826.3764960000002</v>
      </c>
      <c r="BG311" s="126"/>
      <c r="BH311" s="126"/>
      <c r="BI311" s="123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  <c r="AMG311" s="110"/>
      <c r="AMH311" s="110"/>
      <c r="AMI311" s="110"/>
      <c r="AMJ311" s="110"/>
      <c r="AMK311" s="110"/>
      <c r="AML311" s="110"/>
      <c r="AMM311" s="110"/>
      <c r="AMN311" s="110"/>
      <c r="AMO311" s="110"/>
    </row>
    <row r="312" spans="1:1029" s="142" customFormat="1" ht="11.25" customHeight="1">
      <c r="A312" s="123"/>
      <c r="B312" s="141">
        <v>8</v>
      </c>
      <c r="C312" s="126">
        <v>305</v>
      </c>
      <c r="D312" s="127" t="s">
        <v>481</v>
      </c>
      <c r="E312" s="194">
        <f t="shared" si="57"/>
        <v>1240</v>
      </c>
      <c r="F312" s="125">
        <f>ROUND(E312*Valores!$C$2,2)</f>
        <v>102647.2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28619.1</v>
      </c>
      <c r="N312" s="125">
        <f t="shared" si="46"/>
        <v>0</v>
      </c>
      <c r="O312" s="125">
        <v>0</v>
      </c>
      <c r="P312" s="125">
        <v>0</v>
      </c>
      <c r="Q312" s="125">
        <v>0</v>
      </c>
      <c r="R312" s="125">
        <f>IF($F$4="NO",IF(Valores!$C$50*B312&gt;Valores!$C$47,Valores!$C$47,Valores!$C$50*B312),IF(Valores!$C$50*B312&gt;Valores!$C$47,Valores!$C$47,Valores!$C$50*B312)/2)</f>
        <v>11829.2</v>
      </c>
      <c r="S312" s="125">
        <v>0</v>
      </c>
      <c r="T312" s="125">
        <f t="shared" si="56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7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>SUM(F312,H312,J312,L312,M312,N312,O312,P312,Q312,R312,T312,U312,V312,X312,Y312,Z312,AA312,AC312,AD312,AF312,AG312)*Valores!$C$104</f>
        <v>14309.550000000001</v>
      </c>
      <c r="AI312" s="125">
        <f t="shared" si="50"/>
        <v>157405.05</v>
      </c>
      <c r="AJ312" s="125">
        <v>0</v>
      </c>
      <c r="AK312" s="125">
        <v>0</v>
      </c>
      <c r="AL312" s="125">
        <v>0</v>
      </c>
      <c r="AM312" s="125">
        <v>0</v>
      </c>
      <c r="AN312" s="125">
        <v>0</v>
      </c>
      <c r="AO312" s="125">
        <f t="shared" si="48"/>
        <v>0</v>
      </c>
      <c r="AP312" s="125">
        <f>AI312*Valores!$C$72</f>
        <v>-17314.5555</v>
      </c>
      <c r="AQ312" s="125">
        <f>IF(AI312&lt;Valores!$E$73,-0.02,IF(AI312&lt;Valores!$F$73,-0.03,-0.04))*AI312</f>
        <v>-3148.1009999999997</v>
      </c>
      <c r="AR312" s="125">
        <f>AI312*Valores!$C$75</f>
        <v>-8657.27775</v>
      </c>
      <c r="AS312" s="125">
        <v>0</v>
      </c>
      <c r="AT312" s="125">
        <v>0</v>
      </c>
      <c r="AU312" s="125">
        <f t="shared" si="51"/>
        <v>128285.11575</v>
      </c>
      <c r="AV312" s="125">
        <f t="shared" si="45"/>
        <v>-17314.5555</v>
      </c>
      <c r="AW312" s="125">
        <f t="shared" si="52"/>
        <v>-3148.1009999999997</v>
      </c>
      <c r="AX312" s="125">
        <f>AI312*Valores!$C$76</f>
        <v>-4249.93635</v>
      </c>
      <c r="AY312" s="125">
        <f>AI312*Valores!$C$77</f>
        <v>-472.21515</v>
      </c>
      <c r="AZ312" s="125">
        <f t="shared" si="49"/>
        <v>132220.242</v>
      </c>
      <c r="BA312" s="125">
        <f>AI312*Valores!$C$79</f>
        <v>25184.807999999997</v>
      </c>
      <c r="BB312" s="125">
        <f>AI312*Valores!$C$80</f>
        <v>11018.353500000001</v>
      </c>
      <c r="BC312" s="125">
        <f>AI312*Valores!$C$81</f>
        <v>1574.0504999999998</v>
      </c>
      <c r="BD312" s="125">
        <f>AI312*Valores!$C$83</f>
        <v>5509.1767500000005</v>
      </c>
      <c r="BE312" s="125">
        <f>AI312*Valores!$C$85</f>
        <v>8499.8727</v>
      </c>
      <c r="BF312" s="125">
        <f>AI312*Valores!$C$84</f>
        <v>944.4303</v>
      </c>
      <c r="BG312" s="126"/>
      <c r="BH312" s="126"/>
      <c r="BI312" s="123" t="s">
        <v>4</v>
      </c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  <c r="AMG312" s="110"/>
      <c r="AMH312" s="110"/>
      <c r="AMI312" s="110"/>
      <c r="AMJ312" s="110"/>
      <c r="AMK312" s="110"/>
      <c r="AML312" s="110"/>
      <c r="AMM312" s="110"/>
      <c r="AMN312" s="110"/>
      <c r="AMO312" s="110"/>
    </row>
    <row r="313" spans="1:1029" s="142" customFormat="1" ht="11.25" customHeight="1">
      <c r="A313" s="123"/>
      <c r="B313" s="141">
        <v>9</v>
      </c>
      <c r="C313" s="126">
        <v>306</v>
      </c>
      <c r="D313" s="127" t="s">
        <v>482</v>
      </c>
      <c r="E313" s="194">
        <f t="shared" si="57"/>
        <v>1395</v>
      </c>
      <c r="F313" s="125">
        <f>ROUND(E313*Valores!$C$2,2)</f>
        <v>115478.1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32196.49</v>
      </c>
      <c r="N313" s="125">
        <f t="shared" si="46"/>
        <v>0</v>
      </c>
      <c r="O313" s="125">
        <v>0</v>
      </c>
      <c r="P313" s="125">
        <v>0</v>
      </c>
      <c r="Q313" s="125">
        <v>0</v>
      </c>
      <c r="R313" s="125">
        <f>IF($F$4="NO",IF(Valores!$C$50*B313&gt;Valores!$C$47,Valores!$C$47,Valores!$C$50*B313),IF(Valores!$C$50*B313&gt;Valores!$C$47,Valores!$C$47,Valores!$C$50*B313)/2)</f>
        <v>13307.85</v>
      </c>
      <c r="S313" s="125">
        <v>0</v>
      </c>
      <c r="T313" s="125">
        <f t="shared" si="56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7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>SUM(F313,H313,J313,L313,M313,N313,O313,P313,Q313,R313,T313,U313,V313,X313,Y313,Z313,AA313,AC313,AD313,AF313,AG313)*Valores!$C$104</f>
        <v>16098.244</v>
      </c>
      <c r="AI313" s="125">
        <f t="shared" si="50"/>
        <v>177080.684</v>
      </c>
      <c r="AJ313" s="125">
        <v>0</v>
      </c>
      <c r="AK313" s="125">
        <v>0</v>
      </c>
      <c r="AL313" s="125">
        <v>0</v>
      </c>
      <c r="AM313" s="125">
        <v>0</v>
      </c>
      <c r="AN313" s="125">
        <v>0</v>
      </c>
      <c r="AO313" s="125">
        <f t="shared" si="48"/>
        <v>0</v>
      </c>
      <c r="AP313" s="125">
        <f>AI313*Valores!$C$72</f>
        <v>-19478.87524</v>
      </c>
      <c r="AQ313" s="125">
        <f>IF(AI313&lt;Valores!$E$73,-0.02,IF(AI313&lt;Valores!$F$73,-0.03,-0.04))*AI313</f>
        <v>-3541.6136800000004</v>
      </c>
      <c r="AR313" s="125">
        <f>AI313*Valores!$C$75</f>
        <v>-9739.43762</v>
      </c>
      <c r="AS313" s="125">
        <v>0</v>
      </c>
      <c r="AT313" s="125">
        <v>0</v>
      </c>
      <c r="AU313" s="125">
        <f t="shared" si="51"/>
        <v>144320.75746</v>
      </c>
      <c r="AV313" s="125">
        <f t="shared" si="45"/>
        <v>-19478.87524</v>
      </c>
      <c r="AW313" s="125">
        <f t="shared" si="52"/>
        <v>-3541.6136800000004</v>
      </c>
      <c r="AX313" s="125">
        <f>AI313*Valores!$C$76</f>
        <v>-4781.178468</v>
      </c>
      <c r="AY313" s="125">
        <f>AI313*Valores!$C$77</f>
        <v>-531.2420520000001</v>
      </c>
      <c r="AZ313" s="125">
        <f t="shared" si="49"/>
        <v>148747.77456</v>
      </c>
      <c r="BA313" s="125">
        <f>AI313*Valores!$C$79</f>
        <v>28332.909440000003</v>
      </c>
      <c r="BB313" s="125">
        <f>AI313*Valores!$C$80</f>
        <v>12395.647880000002</v>
      </c>
      <c r="BC313" s="125">
        <f>AI313*Valores!$C$81</f>
        <v>1770.8068400000002</v>
      </c>
      <c r="BD313" s="125">
        <f>AI313*Valores!$C$83</f>
        <v>6197.823940000001</v>
      </c>
      <c r="BE313" s="125">
        <f>AI313*Valores!$C$85</f>
        <v>9562.356936</v>
      </c>
      <c r="BF313" s="125">
        <f>AI313*Valores!$C$84</f>
        <v>1062.4841040000001</v>
      </c>
      <c r="BG313" s="126"/>
      <c r="BH313" s="126"/>
      <c r="BI313" s="123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  <c r="AMG313" s="110"/>
      <c r="AMH313" s="110"/>
      <c r="AMI313" s="110"/>
      <c r="AMJ313" s="110"/>
      <c r="AMK313" s="110"/>
      <c r="AML313" s="110"/>
      <c r="AMM313" s="110"/>
      <c r="AMN313" s="110"/>
      <c r="AMO313" s="110"/>
    </row>
    <row r="314" spans="1:1029" s="142" customFormat="1" ht="11.25" customHeight="1">
      <c r="A314" s="123"/>
      <c r="B314" s="141">
        <v>10</v>
      </c>
      <c r="C314" s="126">
        <v>307</v>
      </c>
      <c r="D314" s="127" t="s">
        <v>483</v>
      </c>
      <c r="E314" s="194">
        <f t="shared" si="57"/>
        <v>1550</v>
      </c>
      <c r="F314" s="125">
        <f>ROUND(E314*Valores!$C$2,2)</f>
        <v>128309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35773.88</v>
      </c>
      <c r="N314" s="125">
        <f t="shared" si="46"/>
        <v>0</v>
      </c>
      <c r="O314" s="125">
        <v>0</v>
      </c>
      <c r="P314" s="125">
        <v>0</v>
      </c>
      <c r="Q314" s="125">
        <v>0</v>
      </c>
      <c r="R314" s="125">
        <f>IF($F$4="NO",IF(Valores!$C$50*B314&gt;Valores!$C$47,Valores!$C$47,Valores!$C$50*B314),IF(Valores!$C$50*B314&gt;Valores!$C$47,Valores!$C$47,Valores!$C$50*B314)/2)</f>
        <v>14786.5</v>
      </c>
      <c r="S314" s="125">
        <v>0</v>
      </c>
      <c r="T314" s="125">
        <f t="shared" si="56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7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>SUM(F314,H314,J314,L314,M314,N314,O314,P314,Q314,R314,T314,U314,V314,X314,Y314,Z314,AA314,AC314,AD314,AF314,AG314)*Valores!$C$104</f>
        <v>17886.938000000002</v>
      </c>
      <c r="AI314" s="125">
        <f t="shared" si="50"/>
        <v>196756.318</v>
      </c>
      <c r="AJ314" s="125">
        <v>0</v>
      </c>
      <c r="AK314" s="125">
        <v>0</v>
      </c>
      <c r="AL314" s="125">
        <v>0</v>
      </c>
      <c r="AM314" s="125">
        <v>0</v>
      </c>
      <c r="AN314" s="125">
        <v>0</v>
      </c>
      <c r="AO314" s="125">
        <f t="shared" si="48"/>
        <v>0</v>
      </c>
      <c r="AP314" s="125">
        <f>AI314*Valores!$C$72</f>
        <v>-21643.19498</v>
      </c>
      <c r="AQ314" s="125">
        <f>IF(AI314&lt;Valores!$E$73,-0.02,IF(AI314&lt;Valores!$F$73,-0.03,-0.04))*AI314</f>
        <v>-3935.12636</v>
      </c>
      <c r="AR314" s="125">
        <f>AI314*Valores!$C$75</f>
        <v>-10821.59749</v>
      </c>
      <c r="AS314" s="125">
        <v>0</v>
      </c>
      <c r="AT314" s="125">
        <v>0</v>
      </c>
      <c r="AU314" s="125">
        <f t="shared" si="51"/>
        <v>160356.39917</v>
      </c>
      <c r="AV314" s="125">
        <f t="shared" si="45"/>
        <v>-21643.19498</v>
      </c>
      <c r="AW314" s="125">
        <f t="shared" si="52"/>
        <v>-3935.12636</v>
      </c>
      <c r="AX314" s="125">
        <f>AI314*Valores!$C$76</f>
        <v>-5312.420586</v>
      </c>
      <c r="AY314" s="125">
        <f>AI314*Valores!$C$77</f>
        <v>-590.268954</v>
      </c>
      <c r="AZ314" s="125">
        <f t="shared" si="49"/>
        <v>165275.30712</v>
      </c>
      <c r="BA314" s="125">
        <f>AI314*Valores!$C$79</f>
        <v>31481.01088</v>
      </c>
      <c r="BB314" s="125">
        <f>AI314*Valores!$C$80</f>
        <v>13772.942260000002</v>
      </c>
      <c r="BC314" s="125">
        <f>AI314*Valores!$C$81</f>
        <v>1967.56318</v>
      </c>
      <c r="BD314" s="125">
        <f>AI314*Valores!$C$83</f>
        <v>6886.471130000001</v>
      </c>
      <c r="BE314" s="125">
        <f>AI314*Valores!$C$85</f>
        <v>10624.841172</v>
      </c>
      <c r="BF314" s="125">
        <f>AI314*Valores!$C$84</f>
        <v>1180.537908</v>
      </c>
      <c r="BG314" s="126"/>
      <c r="BH314" s="126"/>
      <c r="BI314" s="123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  <c r="AMG314" s="110"/>
      <c r="AMH314" s="110"/>
      <c r="AMI314" s="110"/>
      <c r="AMJ314" s="110"/>
      <c r="AMK314" s="110"/>
      <c r="AML314" s="110"/>
      <c r="AMM314" s="110"/>
      <c r="AMN314" s="110"/>
      <c r="AMO314" s="110"/>
    </row>
    <row r="315" spans="1:1029" s="142" customFormat="1" ht="11.25" customHeight="1">
      <c r="A315" s="123"/>
      <c r="B315" s="141">
        <v>11</v>
      </c>
      <c r="C315" s="126">
        <v>308</v>
      </c>
      <c r="D315" s="127" t="s">
        <v>484</v>
      </c>
      <c r="E315" s="194">
        <f t="shared" si="57"/>
        <v>1705</v>
      </c>
      <c r="F315" s="125">
        <f>ROUND(E315*Valores!$C$2,2)</f>
        <v>141139.9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39351.26</v>
      </c>
      <c r="N315" s="125">
        <f t="shared" si="46"/>
        <v>0</v>
      </c>
      <c r="O315" s="125">
        <v>0</v>
      </c>
      <c r="P315" s="125">
        <v>0</v>
      </c>
      <c r="Q315" s="125">
        <v>0</v>
      </c>
      <c r="R315" s="125">
        <f>IF($F$4="NO",IF(Valores!$C$50*B315&gt;Valores!$C$47,Valores!$C$47,Valores!$C$50*B315),IF(Valores!$C$50*B315&gt;Valores!$C$47,Valores!$C$47,Valores!$C$50*B315)/2)</f>
        <v>16265.150000000001</v>
      </c>
      <c r="S315" s="125">
        <v>0</v>
      </c>
      <c r="T315" s="125">
        <f t="shared" si="56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7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>SUM(F315,H315,J315,L315,M315,N315,O315,P315,Q315,R315,T315,U315,V315,X315,Y315,Z315,AA315,AC315,AD315,AF315,AG315)*Valores!$C$104</f>
        <v>19675.631</v>
      </c>
      <c r="AI315" s="125">
        <f t="shared" si="50"/>
        <v>216431.941</v>
      </c>
      <c r="AJ315" s="125">
        <v>0</v>
      </c>
      <c r="AK315" s="125">
        <v>0</v>
      </c>
      <c r="AL315" s="125">
        <v>0</v>
      </c>
      <c r="AM315" s="125">
        <v>0</v>
      </c>
      <c r="AN315" s="125">
        <v>0</v>
      </c>
      <c r="AO315" s="125">
        <f t="shared" si="48"/>
        <v>0</v>
      </c>
      <c r="AP315" s="125">
        <f>AI315*Valores!$C$72</f>
        <v>-23807.51351</v>
      </c>
      <c r="AQ315" s="125">
        <f>IF(AI315&lt;Valores!$E$73,-0.02,IF(AI315&lt;Valores!$F$73,-0.03,-0.04))*AI315</f>
        <v>-4328.63882</v>
      </c>
      <c r="AR315" s="125">
        <f>AI315*Valores!$C$75</f>
        <v>-11903.756755</v>
      </c>
      <c r="AS315" s="125">
        <v>0</v>
      </c>
      <c r="AT315" s="125">
        <v>0</v>
      </c>
      <c r="AU315" s="125">
        <f t="shared" si="51"/>
        <v>176392.031915</v>
      </c>
      <c r="AV315" s="125">
        <f t="shared" si="45"/>
        <v>-23807.51351</v>
      </c>
      <c r="AW315" s="125">
        <f t="shared" si="52"/>
        <v>-4328.63882</v>
      </c>
      <c r="AX315" s="125">
        <f>AI315*Valores!$C$76</f>
        <v>-5843.662407</v>
      </c>
      <c r="AY315" s="125">
        <f>AI315*Valores!$C$77</f>
        <v>-649.295823</v>
      </c>
      <c r="AZ315" s="125">
        <f t="shared" si="49"/>
        <v>181802.83044</v>
      </c>
      <c r="BA315" s="125">
        <f>AI315*Valores!$C$79</f>
        <v>34629.11056</v>
      </c>
      <c r="BB315" s="125">
        <f>AI315*Valores!$C$80</f>
        <v>15150.23587</v>
      </c>
      <c r="BC315" s="125">
        <f>AI315*Valores!$C$81</f>
        <v>2164.31941</v>
      </c>
      <c r="BD315" s="125">
        <f>AI315*Valores!$C$83</f>
        <v>7575.117935</v>
      </c>
      <c r="BE315" s="125">
        <f>AI315*Valores!$C$85</f>
        <v>11687.324814</v>
      </c>
      <c r="BF315" s="125">
        <f>AI315*Valores!$C$84</f>
        <v>1298.591646</v>
      </c>
      <c r="BG315" s="126"/>
      <c r="BH315" s="126"/>
      <c r="BI315" s="123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  <c r="AMG315" s="110"/>
      <c r="AMH315" s="110"/>
      <c r="AMI315" s="110"/>
      <c r="AMJ315" s="110"/>
      <c r="AMK315" s="110"/>
      <c r="AML315" s="110"/>
      <c r="AMM315" s="110"/>
      <c r="AMN315" s="110"/>
      <c r="AMO315" s="110"/>
    </row>
    <row r="316" spans="1:1029" s="142" customFormat="1" ht="11.25" customHeight="1">
      <c r="A316" s="123"/>
      <c r="B316" s="141">
        <v>12</v>
      </c>
      <c r="C316" s="126">
        <v>309</v>
      </c>
      <c r="D316" s="127" t="s">
        <v>485</v>
      </c>
      <c r="E316" s="194">
        <f t="shared" si="57"/>
        <v>1860</v>
      </c>
      <c r="F316" s="125">
        <f>ROUND(E316*Valores!$C$2,2)</f>
        <v>153970.8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42928.65</v>
      </c>
      <c r="N316" s="125">
        <f t="shared" si="46"/>
        <v>0</v>
      </c>
      <c r="O316" s="125">
        <v>0</v>
      </c>
      <c r="P316" s="125">
        <v>0</v>
      </c>
      <c r="Q316" s="125">
        <v>0</v>
      </c>
      <c r="R316" s="125">
        <f>IF($F$4="NO",IF(Valores!$C$50*B316&gt;Valores!$C$47,Valores!$C$47,Valores!$C$50*B316),IF(Valores!$C$50*B316&gt;Valores!$C$47,Valores!$C$47,Valores!$C$50*B316)/2)</f>
        <v>17743.800000000003</v>
      </c>
      <c r="S316" s="125">
        <v>0</v>
      </c>
      <c r="T316" s="125">
        <f t="shared" si="56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7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>SUM(F316,H316,J316,L316,M316,N316,O316,P316,Q316,R316,T316,U316,V316,X316,Y316,Z316,AA316,AC316,AD316,AF316,AG316)*Valores!$C$104</f>
        <v>21464.325</v>
      </c>
      <c r="AI316" s="125">
        <f t="shared" si="50"/>
        <v>236107.575</v>
      </c>
      <c r="AJ316" s="125">
        <v>0</v>
      </c>
      <c r="AK316" s="125">
        <v>0</v>
      </c>
      <c r="AL316" s="125">
        <v>0</v>
      </c>
      <c r="AM316" s="125">
        <v>0</v>
      </c>
      <c r="AN316" s="125">
        <v>0</v>
      </c>
      <c r="AO316" s="125">
        <f t="shared" si="48"/>
        <v>0</v>
      </c>
      <c r="AP316" s="125">
        <f>AI316*Valores!$C$72</f>
        <v>-25971.83325</v>
      </c>
      <c r="AQ316" s="125">
        <f>IF(AI316&lt;Valores!$E$73,-0.02,IF(AI316&lt;Valores!$F$73,-0.03,-0.04))*AI316</f>
        <v>-4722.1515</v>
      </c>
      <c r="AR316" s="125">
        <f>AI316*Valores!$C$75</f>
        <v>-12985.916625</v>
      </c>
      <c r="AS316" s="125">
        <v>0</v>
      </c>
      <c r="AT316" s="125">
        <v>0</v>
      </c>
      <c r="AU316" s="125">
        <f t="shared" si="51"/>
        <v>192427.673625</v>
      </c>
      <c r="AV316" s="125">
        <f t="shared" si="45"/>
        <v>-25971.83325</v>
      </c>
      <c r="AW316" s="125">
        <f t="shared" si="52"/>
        <v>-4722.1515</v>
      </c>
      <c r="AX316" s="125">
        <f>AI316*Valores!$C$76</f>
        <v>-6374.904525</v>
      </c>
      <c r="AY316" s="125">
        <f>AI316*Valores!$C$77</f>
        <v>-708.3227250000001</v>
      </c>
      <c r="AZ316" s="125">
        <f t="shared" si="49"/>
        <v>198330.363</v>
      </c>
      <c r="BA316" s="125">
        <f>AI316*Valores!$C$79</f>
        <v>37777.212</v>
      </c>
      <c r="BB316" s="125">
        <f>AI316*Valores!$C$80</f>
        <v>16527.530250000003</v>
      </c>
      <c r="BC316" s="125">
        <f>AI316*Valores!$C$81</f>
        <v>2361.07575</v>
      </c>
      <c r="BD316" s="125">
        <f>AI316*Valores!$C$83</f>
        <v>8263.765125000002</v>
      </c>
      <c r="BE316" s="125">
        <f>AI316*Valores!$C$85</f>
        <v>12749.80905</v>
      </c>
      <c r="BF316" s="125">
        <f>AI316*Valores!$C$84</f>
        <v>1416.6454500000002</v>
      </c>
      <c r="BG316" s="126"/>
      <c r="BH316" s="126"/>
      <c r="BI316" s="123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  <c r="AMG316" s="110"/>
      <c r="AMH316" s="110"/>
      <c r="AMI316" s="110"/>
      <c r="AMJ316" s="110"/>
      <c r="AMK316" s="110"/>
      <c r="AML316" s="110"/>
      <c r="AMM316" s="110"/>
      <c r="AMN316" s="110"/>
      <c r="AMO316" s="110"/>
    </row>
    <row r="317" spans="1:1029" s="142" customFormat="1" ht="11.25" customHeight="1">
      <c r="A317" s="123"/>
      <c r="B317" s="141">
        <v>13</v>
      </c>
      <c r="C317" s="126">
        <v>310</v>
      </c>
      <c r="D317" s="127" t="s">
        <v>486</v>
      </c>
      <c r="E317" s="194">
        <f t="shared" si="57"/>
        <v>2015</v>
      </c>
      <c r="F317" s="125">
        <f>ROUND(E317*Valores!$C$2,2)</f>
        <v>166801.7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46506.04</v>
      </c>
      <c r="N317" s="125">
        <f t="shared" si="46"/>
        <v>0</v>
      </c>
      <c r="O317" s="125">
        <v>0</v>
      </c>
      <c r="P317" s="125">
        <v>0</v>
      </c>
      <c r="Q317" s="125">
        <v>0</v>
      </c>
      <c r="R317" s="125">
        <f>IF($F$4="NO",IF(Valores!$C$50*B317&gt;Valores!$C$47,Valores!$C$47,Valores!$C$50*B317),IF(Valores!$C$50*B317&gt;Valores!$C$47,Valores!$C$47,Valores!$C$50*B317)/2)</f>
        <v>19222.45</v>
      </c>
      <c r="S317" s="125">
        <v>0</v>
      </c>
      <c r="T317" s="125">
        <f t="shared" si="56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7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>SUM(F317,H317,J317,L317,M317,N317,O317,P317,Q317,R317,T317,U317,V317,X317,Y317,Z317,AA317,AC317,AD317,AF317,AG317)*Valores!$C$104</f>
        <v>23253.019000000004</v>
      </c>
      <c r="AI317" s="125">
        <f t="shared" si="50"/>
        <v>255783.20900000003</v>
      </c>
      <c r="AJ317" s="125">
        <v>0</v>
      </c>
      <c r="AK317" s="125">
        <v>0</v>
      </c>
      <c r="AL317" s="125">
        <v>0</v>
      </c>
      <c r="AM317" s="125">
        <v>0</v>
      </c>
      <c r="AN317" s="125">
        <v>0</v>
      </c>
      <c r="AO317" s="125">
        <f t="shared" si="48"/>
        <v>0</v>
      </c>
      <c r="AP317" s="125">
        <f>AI317*Valores!$C$72</f>
        <v>-28136.152990000002</v>
      </c>
      <c r="AQ317" s="125">
        <f>IF(AI317&lt;Valores!$E$73,-0.02,IF(AI317&lt;Valores!$F$73,-0.03,-0.04))*AI317</f>
        <v>-5115.664180000001</v>
      </c>
      <c r="AR317" s="125">
        <f>AI317*Valores!$C$75</f>
        <v>-14068.076495000001</v>
      </c>
      <c r="AS317" s="125">
        <v>0</v>
      </c>
      <c r="AT317" s="125">
        <v>0</v>
      </c>
      <c r="AU317" s="125">
        <f t="shared" si="51"/>
        <v>208463.31533500002</v>
      </c>
      <c r="AV317" s="125">
        <f t="shared" si="45"/>
        <v>-28136.152990000002</v>
      </c>
      <c r="AW317" s="125">
        <f t="shared" si="52"/>
        <v>-5115.664180000001</v>
      </c>
      <c r="AX317" s="125">
        <f>AI317*Valores!$C$76</f>
        <v>-6906.146643000001</v>
      </c>
      <c r="AY317" s="125">
        <f>AI317*Valores!$C$77</f>
        <v>-767.349627</v>
      </c>
      <c r="AZ317" s="125">
        <f t="shared" si="49"/>
        <v>214857.89556000003</v>
      </c>
      <c r="BA317" s="125">
        <f>AI317*Valores!$C$79</f>
        <v>40925.313440000005</v>
      </c>
      <c r="BB317" s="125">
        <f>AI317*Valores!$C$80</f>
        <v>17904.824630000003</v>
      </c>
      <c r="BC317" s="125">
        <f>AI317*Valores!$C$81</f>
        <v>2557.8320900000003</v>
      </c>
      <c r="BD317" s="125">
        <f>AI317*Valores!$C$83</f>
        <v>8952.412315000001</v>
      </c>
      <c r="BE317" s="125">
        <f>AI317*Valores!$C$85</f>
        <v>13812.293286000002</v>
      </c>
      <c r="BF317" s="125">
        <f>AI317*Valores!$C$84</f>
        <v>1534.699254</v>
      </c>
      <c r="BG317" s="126"/>
      <c r="BH317" s="126"/>
      <c r="BI317" s="123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  <c r="AMG317" s="110"/>
      <c r="AMH317" s="110"/>
      <c r="AMI317" s="110"/>
      <c r="AMJ317" s="110"/>
      <c r="AMK317" s="110"/>
      <c r="AML317" s="110"/>
      <c r="AMM317" s="110"/>
      <c r="AMN317" s="110"/>
      <c r="AMO317" s="110"/>
    </row>
    <row r="318" spans="1:1029" s="142" customFormat="1" ht="11.25" customHeight="1">
      <c r="A318" s="123"/>
      <c r="B318" s="141">
        <v>14</v>
      </c>
      <c r="C318" s="126">
        <v>311</v>
      </c>
      <c r="D318" s="127" t="s">
        <v>487</v>
      </c>
      <c r="E318" s="194">
        <f t="shared" si="57"/>
        <v>2170</v>
      </c>
      <c r="F318" s="125">
        <f>ROUND(E318*Valores!$C$2,2)</f>
        <v>179632.6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50083.43</v>
      </c>
      <c r="N318" s="125">
        <f t="shared" si="46"/>
        <v>0</v>
      </c>
      <c r="O318" s="125">
        <v>0</v>
      </c>
      <c r="P318" s="125">
        <v>0</v>
      </c>
      <c r="Q318" s="125">
        <v>0</v>
      </c>
      <c r="R318" s="125">
        <f>IF($F$4="NO",IF(Valores!$C$50*B318&gt;Valores!$C$47,Valores!$C$47,Valores!$C$50*B318),IF(Valores!$C$50*B318&gt;Valores!$C$47,Valores!$C$47,Valores!$C$50*B318)/2)</f>
        <v>20701.100000000002</v>
      </c>
      <c r="S318" s="125">
        <v>0</v>
      </c>
      <c r="T318" s="125">
        <f t="shared" si="56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7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>SUM(F318,H318,J318,L318,M318,N318,O318,P318,Q318,R318,T318,U318,V318,X318,Y318,Z318,AA318,AC318,AD318,AF318,AG318)*Valores!$C$104</f>
        <v>25041.713000000003</v>
      </c>
      <c r="AI318" s="125">
        <f t="shared" si="50"/>
        <v>275458.843</v>
      </c>
      <c r="AJ318" s="125">
        <v>0</v>
      </c>
      <c r="AK318" s="125">
        <v>0</v>
      </c>
      <c r="AL318" s="125">
        <v>0</v>
      </c>
      <c r="AM318" s="125">
        <v>0</v>
      </c>
      <c r="AN318" s="125">
        <v>0</v>
      </c>
      <c r="AO318" s="125">
        <f t="shared" si="48"/>
        <v>0</v>
      </c>
      <c r="AP318" s="125">
        <f>AI318*Valores!$C$72</f>
        <v>-30300.472729999998</v>
      </c>
      <c r="AQ318" s="125">
        <f>IF(AI318&lt;Valores!$E$73,-0.02,IF(AI318&lt;Valores!$F$73,-0.03,-0.04))*AI318</f>
        <v>-5509.17686</v>
      </c>
      <c r="AR318" s="125">
        <f>AI318*Valores!$C$75</f>
        <v>-15150.236364999999</v>
      </c>
      <c r="AS318" s="125">
        <v>0</v>
      </c>
      <c r="AT318" s="125">
        <v>0</v>
      </c>
      <c r="AU318" s="125">
        <f t="shared" si="51"/>
        <v>224498.957045</v>
      </c>
      <c r="AV318" s="125">
        <f t="shared" si="45"/>
        <v>-30300.472729999998</v>
      </c>
      <c r="AW318" s="125">
        <f t="shared" si="52"/>
        <v>-5509.17686</v>
      </c>
      <c r="AX318" s="125">
        <f>AI318*Valores!$C$76</f>
        <v>-7437.388761</v>
      </c>
      <c r="AY318" s="125">
        <f>AI318*Valores!$C$77</f>
        <v>-826.376529</v>
      </c>
      <c r="AZ318" s="125">
        <f t="shared" si="49"/>
        <v>231385.42812</v>
      </c>
      <c r="BA318" s="125">
        <f>AI318*Valores!$C$79</f>
        <v>44073.41488</v>
      </c>
      <c r="BB318" s="125">
        <f>AI318*Valores!$C$80</f>
        <v>19282.119010000002</v>
      </c>
      <c r="BC318" s="125">
        <f>AI318*Valores!$C$81</f>
        <v>2754.58843</v>
      </c>
      <c r="BD318" s="125">
        <f>AI318*Valores!$C$83</f>
        <v>9641.059505000001</v>
      </c>
      <c r="BE318" s="125">
        <f>AI318*Valores!$C$85</f>
        <v>14874.777522</v>
      </c>
      <c r="BF318" s="125">
        <f>AI318*Valores!$C$84</f>
        <v>1652.753058</v>
      </c>
      <c r="BG318" s="126"/>
      <c r="BH318" s="126"/>
      <c r="BI318" s="123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  <c r="AMG318" s="110"/>
      <c r="AMH318" s="110"/>
      <c r="AMI318" s="110"/>
      <c r="AMJ318" s="110"/>
      <c r="AMK318" s="110"/>
      <c r="AML318" s="110"/>
      <c r="AMM318" s="110"/>
      <c r="AMN318" s="110"/>
      <c r="AMO318" s="110"/>
    </row>
    <row r="319" spans="1:1029" s="142" customFormat="1" ht="11.25" customHeight="1">
      <c r="A319" s="123"/>
      <c r="B319" s="141">
        <v>15</v>
      </c>
      <c r="C319" s="126">
        <v>312</v>
      </c>
      <c r="D319" s="127" t="s">
        <v>488</v>
      </c>
      <c r="E319" s="194">
        <f t="shared" si="57"/>
        <v>2325</v>
      </c>
      <c r="F319" s="125">
        <f>ROUND(E319*Valores!$C$2,2)</f>
        <v>192463.5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53660.81</v>
      </c>
      <c r="N319" s="125">
        <f t="shared" si="46"/>
        <v>0</v>
      </c>
      <c r="O319" s="125">
        <v>0</v>
      </c>
      <c r="P319" s="125">
        <v>0</v>
      </c>
      <c r="Q319" s="125">
        <v>0</v>
      </c>
      <c r="R319" s="125">
        <f>IF($F$4="NO",IF(Valores!$C$50*B319&gt;Valores!$C$47,Valores!$C$47,Valores!$C$50*B319),IF(Valores!$C$50*B319&gt;Valores!$C$47,Valores!$C$47,Valores!$C$50*B319)/2)</f>
        <v>22179.75</v>
      </c>
      <c r="S319" s="125">
        <v>0</v>
      </c>
      <c r="T319" s="125">
        <f t="shared" si="56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7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>SUM(F319,H319,J319,L319,M319,N319,O319,P319,Q319,R319,T319,U319,V319,X319,Y319,Z319,AA319,AC319,AD319,AF319,AG319)*Valores!$C$104</f>
        <v>26830.406000000003</v>
      </c>
      <c r="AI319" s="125">
        <f t="shared" si="50"/>
        <v>295134.466</v>
      </c>
      <c r="AJ319" s="125">
        <v>0</v>
      </c>
      <c r="AK319" s="125">
        <v>0</v>
      </c>
      <c r="AL319" s="125">
        <v>0</v>
      </c>
      <c r="AM319" s="125">
        <v>0</v>
      </c>
      <c r="AN319" s="125">
        <v>0</v>
      </c>
      <c r="AO319" s="125">
        <f t="shared" si="48"/>
        <v>0</v>
      </c>
      <c r="AP319" s="125">
        <f>AI319*Valores!$C$72</f>
        <v>-32464.79126</v>
      </c>
      <c r="AQ319" s="125">
        <f>IF(AI319&lt;Valores!$E$73,-0.02,IF(AI319&lt;Valores!$F$73,-0.03,-0.04))*AI319</f>
        <v>-5902.68932</v>
      </c>
      <c r="AR319" s="125">
        <f>AI319*Valores!$C$75</f>
        <v>-16232.39563</v>
      </c>
      <c r="AS319" s="125">
        <v>0</v>
      </c>
      <c r="AT319" s="125">
        <v>0</v>
      </c>
      <c r="AU319" s="125">
        <f t="shared" si="51"/>
        <v>240534.58979</v>
      </c>
      <c r="AV319" s="125">
        <f t="shared" si="45"/>
        <v>-32464.79126</v>
      </c>
      <c r="AW319" s="125">
        <f t="shared" si="52"/>
        <v>-5902.68932</v>
      </c>
      <c r="AX319" s="125">
        <f>AI319*Valores!$C$76</f>
        <v>-7968.630582000001</v>
      </c>
      <c r="AY319" s="125">
        <f>AI319*Valores!$C$77</f>
        <v>-885.403398</v>
      </c>
      <c r="AZ319" s="125">
        <f t="shared" si="49"/>
        <v>247912.95144</v>
      </c>
      <c r="BA319" s="125">
        <f>AI319*Valores!$C$79</f>
        <v>47221.51456</v>
      </c>
      <c r="BB319" s="125">
        <f>AI319*Valores!$C$80</f>
        <v>20659.412620000003</v>
      </c>
      <c r="BC319" s="125">
        <f>AI319*Valores!$C$81</f>
        <v>2951.34466</v>
      </c>
      <c r="BD319" s="125">
        <f>AI319*Valores!$C$83</f>
        <v>10329.706310000001</v>
      </c>
      <c r="BE319" s="125">
        <f>AI319*Valores!$C$85</f>
        <v>15937.261164000001</v>
      </c>
      <c r="BF319" s="125">
        <f>AI319*Valores!$C$84</f>
        <v>1770.806796</v>
      </c>
      <c r="BG319" s="126"/>
      <c r="BH319" s="126"/>
      <c r="BI319" s="123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  <c r="AMG319" s="110"/>
      <c r="AMH319" s="110"/>
      <c r="AMI319" s="110"/>
      <c r="AMJ319" s="110"/>
      <c r="AMK319" s="110"/>
      <c r="AML319" s="110"/>
      <c r="AMM319" s="110"/>
      <c r="AMN319" s="110"/>
      <c r="AMO319" s="110"/>
    </row>
    <row r="320" spans="1:1029" s="142" customFormat="1" ht="11.25" customHeight="1">
      <c r="A320" s="123"/>
      <c r="B320" s="141">
        <v>16</v>
      </c>
      <c r="C320" s="126">
        <v>313</v>
      </c>
      <c r="D320" s="127" t="s">
        <v>489</v>
      </c>
      <c r="E320" s="194">
        <f t="shared" si="57"/>
        <v>2480</v>
      </c>
      <c r="F320" s="125">
        <f>ROUND(E320*Valores!$C$2,2)</f>
        <v>205294.4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57238.2</v>
      </c>
      <c r="N320" s="125">
        <f t="shared" si="46"/>
        <v>0</v>
      </c>
      <c r="O320" s="125">
        <v>0</v>
      </c>
      <c r="P320" s="125">
        <v>0</v>
      </c>
      <c r="Q320" s="125">
        <v>0</v>
      </c>
      <c r="R320" s="125">
        <f>IF($F$4="NO",IF(Valores!$C$50*B320&gt;Valores!$C$47,Valores!$C$47,Valores!$C$50*B320),IF(Valores!$C$50*B320&gt;Valores!$C$47,Valores!$C$47,Valores!$C$50*B320)/2)</f>
        <v>23658.4</v>
      </c>
      <c r="S320" s="125">
        <v>0</v>
      </c>
      <c r="T320" s="125">
        <f t="shared" si="56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7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>SUM(F320,H320,J320,L320,M320,N320,O320,P320,Q320,R320,T320,U320,V320,X320,Y320,Z320,AA320,AC320,AD320,AF320,AG320)*Valores!$C$104</f>
        <v>28619.100000000002</v>
      </c>
      <c r="AI320" s="125">
        <f t="shared" si="50"/>
        <v>314810.1</v>
      </c>
      <c r="AJ320" s="125">
        <v>0</v>
      </c>
      <c r="AK320" s="125">
        <v>0</v>
      </c>
      <c r="AL320" s="125">
        <v>0</v>
      </c>
      <c r="AM320" s="125">
        <v>0</v>
      </c>
      <c r="AN320" s="125">
        <v>0</v>
      </c>
      <c r="AO320" s="125">
        <f t="shared" si="48"/>
        <v>0</v>
      </c>
      <c r="AP320" s="125">
        <f>AI320*Valores!$C$72</f>
        <v>-34629.111</v>
      </c>
      <c r="AQ320" s="125">
        <f>IF(AI320&lt;Valores!$E$73,-0.02,IF(AI320&lt;Valores!$F$73,-0.03,-0.04))*AI320</f>
        <v>-6296.201999999999</v>
      </c>
      <c r="AR320" s="125">
        <f>AI320*Valores!$C$75</f>
        <v>-17314.5555</v>
      </c>
      <c r="AS320" s="125">
        <v>0</v>
      </c>
      <c r="AT320" s="125">
        <v>0</v>
      </c>
      <c r="AU320" s="125">
        <f t="shared" si="51"/>
        <v>256570.2315</v>
      </c>
      <c r="AV320" s="125">
        <f t="shared" si="45"/>
        <v>-34629.111</v>
      </c>
      <c r="AW320" s="125">
        <f t="shared" si="52"/>
        <v>-6296.201999999999</v>
      </c>
      <c r="AX320" s="125">
        <f>AI320*Valores!$C$76</f>
        <v>-8499.8727</v>
      </c>
      <c r="AY320" s="125">
        <f>AI320*Valores!$C$77</f>
        <v>-944.4303</v>
      </c>
      <c r="AZ320" s="125">
        <f t="shared" si="49"/>
        <v>264440.484</v>
      </c>
      <c r="BA320" s="125">
        <f>AI320*Valores!$C$79</f>
        <v>50369.615999999995</v>
      </c>
      <c r="BB320" s="125">
        <f>AI320*Valores!$C$80</f>
        <v>22036.707000000002</v>
      </c>
      <c r="BC320" s="125">
        <f>AI320*Valores!$C$81</f>
        <v>3148.1009999999997</v>
      </c>
      <c r="BD320" s="125">
        <f>AI320*Valores!$C$83</f>
        <v>11018.353500000001</v>
      </c>
      <c r="BE320" s="125">
        <f>AI320*Valores!$C$85</f>
        <v>16999.7454</v>
      </c>
      <c r="BF320" s="125">
        <f>AI320*Valores!$C$84</f>
        <v>1888.8606</v>
      </c>
      <c r="BG320" s="126"/>
      <c r="BH320" s="126"/>
      <c r="BI320" s="123" t="s">
        <v>4</v>
      </c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  <c r="AMG320" s="110"/>
      <c r="AMH320" s="110"/>
      <c r="AMI320" s="110"/>
      <c r="AMJ320" s="110"/>
      <c r="AMK320" s="110"/>
      <c r="AML320" s="110"/>
      <c r="AMM320" s="110"/>
      <c r="AMN320" s="110"/>
      <c r="AMO320" s="110"/>
    </row>
    <row r="321" spans="1:1029" s="142" customFormat="1" ht="11.25" customHeight="1">
      <c r="A321" s="143" t="s">
        <v>469</v>
      </c>
      <c r="B321" s="141">
        <v>1</v>
      </c>
      <c r="C321" s="126">
        <v>314</v>
      </c>
      <c r="D321" s="127" t="s">
        <v>490</v>
      </c>
      <c r="E321" s="194">
        <v>275</v>
      </c>
      <c r="F321" s="125">
        <f>ROUND(E321*Valores!$C$2,2)</f>
        <v>22764.5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6"/>
        <v>0</v>
      </c>
      <c r="O321" s="125">
        <v>0</v>
      </c>
      <c r="P321" s="125">
        <v>0</v>
      </c>
      <c r="Q321" s="125">
        <v>0</v>
      </c>
      <c r="R321" s="125">
        <f>IF($F$4="NO",Valores!$C$51,Valores!$C$51/2)</f>
        <v>2198.42</v>
      </c>
      <c r="S321" s="125">
        <v>0</v>
      </c>
      <c r="T321" s="125">
        <f t="shared" si="56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Valores!$C$100</f>
        <v>5794.46</v>
      </c>
      <c r="AA321" s="125">
        <v>0</v>
      </c>
      <c r="AB321" s="214">
        <v>0</v>
      </c>
      <c r="AC321" s="125">
        <f t="shared" si="47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Valores!$C$65</f>
        <v>1992.18</v>
      </c>
      <c r="AH321" s="125">
        <f>SUM(F321,H321,J321,L321,M321,N321,O321,P321,Q321,R321,T321,U321,V321,X321,Y321,Z321,AA321,AC321,AD321,AF321,AG321)*Valores!$C$104</f>
        <v>3274.956</v>
      </c>
      <c r="AI321" s="125">
        <f t="shared" si="50"/>
        <v>36024.515999999996</v>
      </c>
      <c r="AJ321" s="125">
        <f>Valores!$C$34</f>
        <v>4666.666666666667</v>
      </c>
      <c r="AK321" s="125">
        <v>0</v>
      </c>
      <c r="AL321" s="125">
        <f>Valores!$C$93</f>
        <v>0</v>
      </c>
      <c r="AM321" s="125">
        <v>0</v>
      </c>
      <c r="AN321" s="125">
        <v>0</v>
      </c>
      <c r="AO321" s="125">
        <f t="shared" si="48"/>
        <v>4666.666666666667</v>
      </c>
      <c r="AP321" s="125">
        <f>AI321*Valores!$C$72</f>
        <v>-3962.6967599999994</v>
      </c>
      <c r="AQ321" s="125">
        <f>IF(AI321&lt;Valores!$E$73,-0.02,IF(AI321&lt;Valores!$F$73,-0.03,-0.04))*AI321</f>
        <v>-720.4903199999999</v>
      </c>
      <c r="AR321" s="125">
        <f>AI321*Valores!$C$75</f>
        <v>-1981.3483799999997</v>
      </c>
      <c r="AS321" s="125">
        <v>0</v>
      </c>
      <c r="AT321" s="125">
        <v>0</v>
      </c>
      <c r="AU321" s="125">
        <f t="shared" si="51"/>
        <v>34026.64720666666</v>
      </c>
      <c r="AV321" s="125">
        <f t="shared" si="45"/>
        <v>-3962.6967599999994</v>
      </c>
      <c r="AW321" s="125">
        <f t="shared" si="52"/>
        <v>-720.4903199999999</v>
      </c>
      <c r="AX321" s="125">
        <f>AI321*Valores!$C$76</f>
        <v>-972.6619319999999</v>
      </c>
      <c r="AY321" s="125">
        <f>AI321*Valores!$C$77</f>
        <v>-108.07354799999999</v>
      </c>
      <c r="AZ321" s="125">
        <f t="shared" si="49"/>
        <v>34927.26010666666</v>
      </c>
      <c r="BA321" s="125">
        <f>AI321*Valores!$C$79</f>
        <v>5763.922559999999</v>
      </c>
      <c r="BB321" s="125">
        <f>AI321*Valores!$C$80</f>
        <v>2521.71612</v>
      </c>
      <c r="BC321" s="125">
        <f>AI321*Valores!$C$81</f>
        <v>360.24515999999994</v>
      </c>
      <c r="BD321" s="125">
        <f>AI321*Valores!$C$83</f>
        <v>1260.85806</v>
      </c>
      <c r="BE321" s="125">
        <f>AI321*Valores!$C$85</f>
        <v>1945.3238639999997</v>
      </c>
      <c r="BF321" s="125">
        <f>AI321*Valores!$C$84</f>
        <v>216.14709599999998</v>
      </c>
      <c r="BG321" s="126"/>
      <c r="BH321" s="126"/>
      <c r="BI321" s="123" t="s">
        <v>4</v>
      </c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  <c r="AMG321" s="110"/>
      <c r="AMH321" s="110"/>
      <c r="AMI321" s="110"/>
      <c r="AMJ321" s="110"/>
      <c r="AMK321" s="110"/>
      <c r="AML321" s="110"/>
      <c r="AMM321" s="110"/>
      <c r="AMN321" s="110"/>
      <c r="AMO321" s="110"/>
    </row>
    <row r="322" spans="1:1029" s="142" customFormat="1" ht="11.25" customHeight="1">
      <c r="A322" s="144" t="s">
        <v>469</v>
      </c>
      <c r="B322" s="141">
        <v>1</v>
      </c>
      <c r="C322" s="126">
        <v>315</v>
      </c>
      <c r="D322" s="127" t="s">
        <v>491</v>
      </c>
      <c r="E322" s="194">
        <v>245</v>
      </c>
      <c r="F322" s="125">
        <f>ROUND(E322*Valores!$C$2,2)</f>
        <v>20281.1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6"/>
        <v>0</v>
      </c>
      <c r="O322" s="125">
        <v>0</v>
      </c>
      <c r="P322" s="125">
        <v>0</v>
      </c>
      <c r="Q322" s="125">
        <v>0</v>
      </c>
      <c r="R322" s="125">
        <f>IF($F$4="NO",Valores!$C$51,Valores!$C$51/2)</f>
        <v>2198.42</v>
      </c>
      <c r="S322" s="125">
        <v>0</v>
      </c>
      <c r="T322" s="125">
        <f t="shared" si="56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Valores!$C$100</f>
        <v>5794.46</v>
      </c>
      <c r="AA322" s="125">
        <v>0</v>
      </c>
      <c r="AB322" s="214">
        <v>0</v>
      </c>
      <c r="AC322" s="125">
        <f t="shared" si="47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Valores!$C$65</f>
        <v>1992.18</v>
      </c>
      <c r="AH322" s="125">
        <f>SUM(F322,H322,J322,L322,M322,N322,O322,P322,Q322,R322,T322,U322,V322,X322,Y322,Z322,AA322,AC322,AD322,AF322,AG322)*Valores!$C$104</f>
        <v>3026.616</v>
      </c>
      <c r="AI322" s="125">
        <f t="shared" si="50"/>
        <v>33292.776</v>
      </c>
      <c r="AJ322" s="125">
        <f>Valores!$C$34</f>
        <v>4666.666666666667</v>
      </c>
      <c r="AK322" s="125">
        <v>0</v>
      </c>
      <c r="AL322" s="125">
        <f>Valores!$C$93</f>
        <v>0</v>
      </c>
      <c r="AM322" s="125">
        <v>0</v>
      </c>
      <c r="AN322" s="125">
        <v>0</v>
      </c>
      <c r="AO322" s="125">
        <f t="shared" si="48"/>
        <v>4666.666666666667</v>
      </c>
      <c r="AP322" s="125">
        <f>AI322*Valores!$C$72</f>
        <v>-3662.20536</v>
      </c>
      <c r="AQ322" s="125">
        <f>IF(AI322&lt;Valores!$E$73,-0.02,IF(AI322&lt;Valores!$F$73,-0.03,-0.04))*AI322</f>
        <v>-665.85552</v>
      </c>
      <c r="AR322" s="125">
        <f>AI322*Valores!$C$75</f>
        <v>-1831.10268</v>
      </c>
      <c r="AS322" s="125">
        <v>0</v>
      </c>
      <c r="AT322" s="125">
        <v>0</v>
      </c>
      <c r="AU322" s="125">
        <f t="shared" si="51"/>
        <v>31800.279106666665</v>
      </c>
      <c r="AV322" s="125">
        <f t="shared" si="45"/>
        <v>-3662.20536</v>
      </c>
      <c r="AW322" s="125">
        <f t="shared" si="52"/>
        <v>-665.85552</v>
      </c>
      <c r="AX322" s="125">
        <f>AI322*Valores!$C$76</f>
        <v>-898.904952</v>
      </c>
      <c r="AY322" s="125">
        <f>AI322*Valores!$C$77</f>
        <v>-99.878328</v>
      </c>
      <c r="AZ322" s="125">
        <f t="shared" si="49"/>
        <v>32632.59850666666</v>
      </c>
      <c r="BA322" s="125">
        <f>AI322*Valores!$C$79</f>
        <v>5326.84416</v>
      </c>
      <c r="BB322" s="125">
        <f>AI322*Valores!$C$80</f>
        <v>2330.4943200000002</v>
      </c>
      <c r="BC322" s="125">
        <f>AI322*Valores!$C$81</f>
        <v>332.92776</v>
      </c>
      <c r="BD322" s="125">
        <f>AI322*Valores!$C$83</f>
        <v>1165.2471600000001</v>
      </c>
      <c r="BE322" s="125">
        <f>AI322*Valores!$C$85</f>
        <v>1797.809904</v>
      </c>
      <c r="BF322" s="125">
        <f>AI322*Valores!$C$84</f>
        <v>199.756656</v>
      </c>
      <c r="BG322" s="126"/>
      <c r="BH322" s="126"/>
      <c r="BI322" s="123" t="s">
        <v>4</v>
      </c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  <c r="AMG322" s="110"/>
      <c r="AMH322" s="110"/>
      <c r="AMI322" s="110"/>
      <c r="AMJ322" s="110"/>
      <c r="AMK322" s="110"/>
      <c r="AML322" s="110"/>
      <c r="AMM322" s="110"/>
      <c r="AMN322" s="110"/>
      <c r="AMO322" s="110"/>
    </row>
    <row r="323" spans="1:1029" s="142" customFormat="1" ht="11.25" customHeight="1">
      <c r="A323" s="144" t="s">
        <v>469</v>
      </c>
      <c r="B323" s="141">
        <v>1</v>
      </c>
      <c r="C323" s="126">
        <v>316</v>
      </c>
      <c r="D323" s="127" t="s">
        <v>492</v>
      </c>
      <c r="E323" s="194">
        <v>238</v>
      </c>
      <c r="F323" s="125">
        <f>ROUND(E323*Valores!$C$2,2)</f>
        <v>19701.64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6"/>
        <v>0</v>
      </c>
      <c r="O323" s="125">
        <v>0</v>
      </c>
      <c r="P323" s="125">
        <v>0</v>
      </c>
      <c r="Q323" s="125">
        <v>0</v>
      </c>
      <c r="R323" s="125">
        <f>IF($F$4="NO",Valores!$C$51,Valores!$C$51/2)</f>
        <v>2198.42</v>
      </c>
      <c r="S323" s="125">
        <v>0</v>
      </c>
      <c r="T323" s="125">
        <f t="shared" si="56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Valores!$C$100</f>
        <v>5794.46</v>
      </c>
      <c r="AA323" s="125">
        <v>0</v>
      </c>
      <c r="AB323" s="214">
        <v>0</v>
      </c>
      <c r="AC323" s="125">
        <f t="shared" si="47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Valores!$C$65</f>
        <v>1992.18</v>
      </c>
      <c r="AH323" s="125">
        <f>SUM(F323,H323,J323,L323,M323,N323,O323,P323,Q323,R323,T323,U323,V323,X323,Y323,Z323,AA323,AC323,AD323,AF323,AG323)*Valores!$C$104</f>
        <v>2968.67</v>
      </c>
      <c r="AI323" s="125">
        <f t="shared" si="50"/>
        <v>32655.369999999995</v>
      </c>
      <c r="AJ323" s="125">
        <f>Valores!$C$34</f>
        <v>4666.666666666667</v>
      </c>
      <c r="AK323" s="125">
        <v>0</v>
      </c>
      <c r="AL323" s="125">
        <f>Valores!$C$93</f>
        <v>0</v>
      </c>
      <c r="AM323" s="125">
        <v>0</v>
      </c>
      <c r="AN323" s="125">
        <v>0</v>
      </c>
      <c r="AO323" s="125">
        <f t="shared" si="48"/>
        <v>4666.666666666667</v>
      </c>
      <c r="AP323" s="125">
        <f>AI323*Valores!$C$72</f>
        <v>-3592.0906999999993</v>
      </c>
      <c r="AQ323" s="125">
        <f>IF(AI323&lt;Valores!$E$73,-0.02,IF(AI323&lt;Valores!$F$73,-0.03,-0.04))*AI323</f>
        <v>-653.1073999999999</v>
      </c>
      <c r="AR323" s="125">
        <f>AI323*Valores!$C$75</f>
        <v>-1796.0453499999996</v>
      </c>
      <c r="AS323" s="125">
        <v>0</v>
      </c>
      <c r="AT323" s="125">
        <v>0</v>
      </c>
      <c r="AU323" s="125">
        <f t="shared" si="51"/>
        <v>31280.793216666665</v>
      </c>
      <c r="AV323" s="125">
        <f t="shared" si="45"/>
        <v>-3592.0906999999993</v>
      </c>
      <c r="AW323" s="125">
        <f t="shared" si="52"/>
        <v>-653.1073999999999</v>
      </c>
      <c r="AX323" s="125">
        <f>AI323*Valores!$C$76</f>
        <v>-881.6949899999998</v>
      </c>
      <c r="AY323" s="125">
        <f>AI323*Valores!$C$77</f>
        <v>-97.96610999999999</v>
      </c>
      <c r="AZ323" s="125">
        <f t="shared" si="49"/>
        <v>32097.17746666666</v>
      </c>
      <c r="BA323" s="125">
        <f>AI323*Valores!$C$79</f>
        <v>5224.859199999999</v>
      </c>
      <c r="BB323" s="125">
        <f>AI323*Valores!$C$80</f>
        <v>2285.8759</v>
      </c>
      <c r="BC323" s="125">
        <f>AI323*Valores!$C$81</f>
        <v>326.55369999999994</v>
      </c>
      <c r="BD323" s="125">
        <f>AI323*Valores!$C$83</f>
        <v>1142.93795</v>
      </c>
      <c r="BE323" s="125">
        <f>AI323*Valores!$C$85</f>
        <v>1763.3899799999997</v>
      </c>
      <c r="BF323" s="125">
        <f>AI323*Valores!$C$84</f>
        <v>195.93221999999997</v>
      </c>
      <c r="BG323" s="126"/>
      <c r="BH323" s="126"/>
      <c r="BI323" s="123" t="s">
        <v>4</v>
      </c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  <c r="AMG323" s="110"/>
      <c r="AMH323" s="110"/>
      <c r="AMI323" s="110"/>
      <c r="AMJ323" s="110"/>
      <c r="AMK323" s="110"/>
      <c r="AML323" s="110"/>
      <c r="AMM323" s="110"/>
      <c r="AMN323" s="110"/>
      <c r="AMO323" s="110"/>
    </row>
    <row r="324" spans="1:1029" s="142" customFormat="1" ht="11.25" customHeight="1">
      <c r="A324" s="144" t="s">
        <v>469</v>
      </c>
      <c r="B324" s="141">
        <v>1</v>
      </c>
      <c r="C324" s="126">
        <v>317</v>
      </c>
      <c r="D324" s="127" t="s">
        <v>493</v>
      </c>
      <c r="E324" s="194">
        <v>245</v>
      </c>
      <c r="F324" s="125">
        <f>ROUND(E324*Valores!$C$2,2)</f>
        <v>20281.1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6"/>
        <v>0</v>
      </c>
      <c r="O324" s="125">
        <v>0</v>
      </c>
      <c r="P324" s="125">
        <v>0</v>
      </c>
      <c r="Q324" s="125">
        <v>0</v>
      </c>
      <c r="R324" s="125">
        <f>IF($F$4="NO",Valores!$C$51,Valores!$C$51/2)</f>
        <v>2198.42</v>
      </c>
      <c r="S324" s="125">
        <v>0</v>
      </c>
      <c r="T324" s="125">
        <f t="shared" si="56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Valores!$C$100</f>
        <v>5794.46</v>
      </c>
      <c r="AA324" s="125">
        <v>0</v>
      </c>
      <c r="AB324" s="214">
        <v>0</v>
      </c>
      <c r="AC324" s="125">
        <f t="shared" si="47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Valores!$C$65</f>
        <v>1992.18</v>
      </c>
      <c r="AH324" s="125">
        <f>SUM(F324,H324,J324,L324,M324,N324,O324,P324,Q324,R324,T324,U324,V324,X324,Y324,Z324,AA324,AC324,AD324,AF324,AG324)*Valores!$C$104</f>
        <v>3026.616</v>
      </c>
      <c r="AI324" s="125">
        <f t="shared" si="50"/>
        <v>33292.776</v>
      </c>
      <c r="AJ324" s="125">
        <v>0</v>
      </c>
      <c r="AK324" s="125">
        <v>0</v>
      </c>
      <c r="AL324" s="125">
        <f>Valores!$C$93</f>
        <v>0</v>
      </c>
      <c r="AM324" s="125">
        <v>0</v>
      </c>
      <c r="AN324" s="125">
        <v>0</v>
      </c>
      <c r="AO324" s="125">
        <f t="shared" si="48"/>
        <v>0</v>
      </c>
      <c r="AP324" s="125">
        <f>AI324*Valores!$C$72</f>
        <v>-3662.20536</v>
      </c>
      <c r="AQ324" s="125">
        <f>IF(AI324&lt;Valores!$E$73,-0.02,IF(AI324&lt;Valores!$F$73,-0.03,-0.04))*AI324</f>
        <v>-665.85552</v>
      </c>
      <c r="AR324" s="125">
        <f>AI324*Valores!$C$75</f>
        <v>-1831.10268</v>
      </c>
      <c r="AS324" s="125">
        <v>0</v>
      </c>
      <c r="AT324" s="125">
        <v>0</v>
      </c>
      <c r="AU324" s="125">
        <f t="shared" si="51"/>
        <v>27133.612439999997</v>
      </c>
      <c r="AV324" s="125">
        <f t="shared" si="45"/>
        <v>-3662.20536</v>
      </c>
      <c r="AW324" s="125">
        <f t="shared" si="52"/>
        <v>-665.85552</v>
      </c>
      <c r="AX324" s="125">
        <f>AI324*Valores!$C$76</f>
        <v>-898.904952</v>
      </c>
      <c r="AY324" s="125">
        <f>AI324*Valores!$C$77</f>
        <v>-99.878328</v>
      </c>
      <c r="AZ324" s="125">
        <f t="shared" si="49"/>
        <v>27965.931839999997</v>
      </c>
      <c r="BA324" s="125">
        <f>AI324*Valores!$C$79</f>
        <v>5326.84416</v>
      </c>
      <c r="BB324" s="125">
        <f>AI324*Valores!$C$80</f>
        <v>2330.4943200000002</v>
      </c>
      <c r="BC324" s="125">
        <f>AI324*Valores!$C$81</f>
        <v>332.92776</v>
      </c>
      <c r="BD324" s="125">
        <f>AI324*Valores!$C$83</f>
        <v>1165.2471600000001</v>
      </c>
      <c r="BE324" s="125">
        <f>AI324*Valores!$C$85</f>
        <v>1797.809904</v>
      </c>
      <c r="BF324" s="125">
        <f>AI324*Valores!$C$84</f>
        <v>199.756656</v>
      </c>
      <c r="BG324" s="126"/>
      <c r="BH324" s="126"/>
      <c r="BI324" s="123" t="s">
        <v>4</v>
      </c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  <c r="AMG324" s="110"/>
      <c r="AMH324" s="110"/>
      <c r="AMI324" s="110"/>
      <c r="AMJ324" s="110"/>
      <c r="AMK324" s="110"/>
      <c r="AML324" s="110"/>
      <c r="AMM324" s="110"/>
      <c r="AMN324" s="110"/>
      <c r="AMO324" s="110"/>
    </row>
    <row r="325" spans="1:1029" s="142" customFormat="1" ht="11.25" customHeight="1">
      <c r="A325" s="143" t="s">
        <v>469</v>
      </c>
      <c r="B325" s="141">
        <v>1</v>
      </c>
      <c r="C325" s="126">
        <v>318</v>
      </c>
      <c r="D325" s="127" t="s">
        <v>494</v>
      </c>
      <c r="E325" s="194">
        <v>243</v>
      </c>
      <c r="F325" s="125">
        <f>ROUND(E325*Valores!$C$2,2)</f>
        <v>20115.54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6"/>
        <v>0</v>
      </c>
      <c r="O325" s="125">
        <v>0</v>
      </c>
      <c r="P325" s="125">
        <v>0</v>
      </c>
      <c r="Q325" s="125">
        <v>0</v>
      </c>
      <c r="R325" s="125">
        <f>IF($F$4="NO",Valores!$C$51,Valores!$C$51/2)</f>
        <v>2198.42</v>
      </c>
      <c r="S325" s="125">
        <v>0</v>
      </c>
      <c r="T325" s="125">
        <f t="shared" si="56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Valores!$C$100</f>
        <v>5794.46</v>
      </c>
      <c r="AA325" s="125">
        <v>0</v>
      </c>
      <c r="AB325" s="214">
        <v>0</v>
      </c>
      <c r="AC325" s="125">
        <f t="shared" si="47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Valores!$C$65</f>
        <v>1992.18</v>
      </c>
      <c r="AH325" s="125">
        <f>SUM(F325,H325,J325,L325,M325,N325,O325,P325,Q325,R325,T325,U325,V325,X325,Y325,Z325,AA325,AC325,AD325,AF325,AG325)*Valores!$C$104</f>
        <v>3010.06</v>
      </c>
      <c r="AI325" s="125">
        <f t="shared" si="50"/>
        <v>33110.659999999996</v>
      </c>
      <c r="AJ325" s="125">
        <v>0</v>
      </c>
      <c r="AK325" s="125">
        <v>0</v>
      </c>
      <c r="AL325" s="125">
        <f>Valores!$C$93</f>
        <v>0</v>
      </c>
      <c r="AM325" s="125">
        <v>0</v>
      </c>
      <c r="AN325" s="125">
        <v>0</v>
      </c>
      <c r="AO325" s="125">
        <f t="shared" si="48"/>
        <v>0</v>
      </c>
      <c r="AP325" s="125">
        <f>AI325*Valores!$C$72</f>
        <v>-3642.1725999999994</v>
      </c>
      <c r="AQ325" s="125">
        <f>IF(AI325&lt;Valores!$E$73,-0.02,IF(AI325&lt;Valores!$F$73,-0.03,-0.04))*AI325</f>
        <v>-662.2131999999999</v>
      </c>
      <c r="AR325" s="125">
        <f>AI325*Valores!$C$75</f>
        <v>-1821.0862999999997</v>
      </c>
      <c r="AS325" s="125">
        <v>0</v>
      </c>
      <c r="AT325" s="125">
        <v>0</v>
      </c>
      <c r="AU325" s="125">
        <f t="shared" si="51"/>
        <v>26985.187899999997</v>
      </c>
      <c r="AV325" s="125">
        <f t="shared" si="45"/>
        <v>-3642.1725999999994</v>
      </c>
      <c r="AW325" s="125">
        <f t="shared" si="52"/>
        <v>-662.2131999999999</v>
      </c>
      <c r="AX325" s="125">
        <f>AI325*Valores!$C$76</f>
        <v>-893.9878199999999</v>
      </c>
      <c r="AY325" s="125">
        <f>AI325*Valores!$C$77</f>
        <v>-99.33197999999999</v>
      </c>
      <c r="AZ325" s="125">
        <f t="shared" si="49"/>
        <v>27812.954399999995</v>
      </c>
      <c r="BA325" s="125">
        <f>AI325*Valores!$C$79</f>
        <v>5297.705599999999</v>
      </c>
      <c r="BB325" s="125">
        <f>AI325*Valores!$C$80</f>
        <v>2317.7462</v>
      </c>
      <c r="BC325" s="125">
        <f>AI325*Valores!$C$81</f>
        <v>331.10659999999996</v>
      </c>
      <c r="BD325" s="125">
        <f>AI325*Valores!$C$83</f>
        <v>1158.8731</v>
      </c>
      <c r="BE325" s="125">
        <f>AI325*Valores!$C$85</f>
        <v>1787.9756399999999</v>
      </c>
      <c r="BF325" s="125">
        <f>AI325*Valores!$C$84</f>
        <v>198.66395999999997</v>
      </c>
      <c r="BG325" s="126"/>
      <c r="BH325" s="126"/>
      <c r="BI325" s="123" t="s">
        <v>4</v>
      </c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  <c r="AMG325" s="110"/>
      <c r="AMH325" s="110"/>
      <c r="AMI325" s="110"/>
      <c r="AMJ325" s="110"/>
      <c r="AMK325" s="110"/>
      <c r="AML325" s="110"/>
      <c r="AMM325" s="110"/>
      <c r="AMN325" s="110"/>
      <c r="AMO325" s="110"/>
    </row>
    <row r="326" spans="1:1029" s="142" customFormat="1" ht="11.25" customHeight="1">
      <c r="A326" s="143" t="s">
        <v>469</v>
      </c>
      <c r="B326" s="123">
        <v>1</v>
      </c>
      <c r="C326" s="126">
        <v>319</v>
      </c>
      <c r="D326" s="127" t="s">
        <v>495</v>
      </c>
      <c r="E326" s="194">
        <v>235</v>
      </c>
      <c r="F326" s="125">
        <f>ROUND(E326*Valores!$C$2,2)</f>
        <v>19453.3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6"/>
        <v>0</v>
      </c>
      <c r="O326" s="125">
        <v>0</v>
      </c>
      <c r="P326" s="125">
        <v>0</v>
      </c>
      <c r="Q326" s="125">
        <v>0</v>
      </c>
      <c r="R326" s="125">
        <f>IF($F$4="NO",Valores!$C$51,Valores!$C$51/2)</f>
        <v>2198.42</v>
      </c>
      <c r="S326" s="125">
        <v>0</v>
      </c>
      <c r="T326" s="125">
        <f t="shared" si="56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Valores!$C$100</f>
        <v>5794.46</v>
      </c>
      <c r="AA326" s="125">
        <v>0</v>
      </c>
      <c r="AB326" s="214">
        <v>0</v>
      </c>
      <c r="AC326" s="125">
        <f t="shared" si="47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Valores!$C$65</f>
        <v>1992.18</v>
      </c>
      <c r="AH326" s="125">
        <f>SUM(F326,H326,J326,L326,M326,N326,O326,P326,Q326,R326,T326,U326,V326,X326,Y326,Z326,AA326,AC326,AD326,AF326,AG326)*Valores!$C$104</f>
        <v>2943.8360000000002</v>
      </c>
      <c r="AI326" s="125">
        <f t="shared" si="50"/>
        <v>32382.196</v>
      </c>
      <c r="AJ326" s="125">
        <v>0</v>
      </c>
      <c r="AK326" s="125">
        <v>0</v>
      </c>
      <c r="AL326" s="125">
        <f>Valores!$C$93</f>
        <v>0</v>
      </c>
      <c r="AM326" s="125">
        <v>0</v>
      </c>
      <c r="AN326" s="125">
        <v>0</v>
      </c>
      <c r="AO326" s="125">
        <f t="shared" si="48"/>
        <v>0</v>
      </c>
      <c r="AP326" s="125">
        <f>AI326*Valores!$C$72</f>
        <v>-3562.04156</v>
      </c>
      <c r="AQ326" s="125">
        <f>IF(AI326&lt;Valores!$E$73,-0.02,IF(AI326&lt;Valores!$F$73,-0.03,-0.04))*AI326</f>
        <v>-647.64392</v>
      </c>
      <c r="AR326" s="125">
        <f>AI326*Valores!$C$75</f>
        <v>-1781.02078</v>
      </c>
      <c r="AS326" s="125">
        <v>0</v>
      </c>
      <c r="AT326" s="125">
        <v>0</v>
      </c>
      <c r="AU326" s="125">
        <f t="shared" si="51"/>
        <v>26391.48974</v>
      </c>
      <c r="AV326" s="125">
        <f>AP326</f>
        <v>-3562.04156</v>
      </c>
      <c r="AW326" s="125">
        <f t="shared" si="52"/>
        <v>-647.64392</v>
      </c>
      <c r="AX326" s="125">
        <f>AI326*Valores!$C$76</f>
        <v>-874.319292</v>
      </c>
      <c r="AY326" s="125">
        <f>AI326*Valores!$C$77</f>
        <v>-97.14658800000001</v>
      </c>
      <c r="AZ326" s="125">
        <f>AI326+AO326+SUM(AV326:AY326)</f>
        <v>27201.04464</v>
      </c>
      <c r="BA326" s="125">
        <f>AI326*Valores!$C$79</f>
        <v>5181.15136</v>
      </c>
      <c r="BB326" s="125">
        <f>AI326*Valores!$C$80</f>
        <v>2266.75372</v>
      </c>
      <c r="BC326" s="125">
        <f>AI326*Valores!$C$81</f>
        <v>323.82196</v>
      </c>
      <c r="BD326" s="125">
        <f>AI326*Valores!$C$83</f>
        <v>1133.37686</v>
      </c>
      <c r="BE326" s="125">
        <f>AI326*Valores!$C$85</f>
        <v>1748.638584</v>
      </c>
      <c r="BF326" s="125">
        <f>AI326*Valores!$C$84</f>
        <v>194.29317600000002</v>
      </c>
      <c r="BG326" s="126"/>
      <c r="BH326" s="126"/>
      <c r="BI326" s="123" t="s">
        <v>4</v>
      </c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  <c r="AMG326" s="110"/>
      <c r="AMH326" s="110"/>
      <c r="AMI326" s="110"/>
      <c r="AMJ326" s="110"/>
      <c r="AMK326" s="110"/>
      <c r="AML326" s="110"/>
      <c r="AMM326" s="110"/>
      <c r="AMN326" s="110"/>
      <c r="AMO326" s="110"/>
    </row>
    <row r="328" spans="6:37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28"/>
      <c r="AI328" s="130"/>
      <c r="AJ328" s="131"/>
      <c r="AK328" s="131"/>
    </row>
    <row r="332" ht="12.75">
      <c r="R332" s="168"/>
    </row>
  </sheetData>
  <autoFilter ref="A7:BI326"/>
  <mergeCells count="14">
    <mergeCell ref="A1:AN1"/>
    <mergeCell ref="AN2:AN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  <mergeCell ref="X3:AG4"/>
  </mergeCells>
  <dataValidations count="3">
    <dataValidation type="list" allowBlank="1" showInputMessage="1" showErrorMessage="1" error="VALOR INCORRECTO" sqref="F3:F4 AN4:AN5">
      <formula1>$AO$3:$AO$4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654</v>
      </c>
      <c r="B1" t="s">
        <v>655</v>
      </c>
      <c r="C1" t="s">
        <v>72</v>
      </c>
      <c r="D1" t="s">
        <v>685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687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106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108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110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112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114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116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118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120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122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124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126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128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130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132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134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136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138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140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142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144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146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148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150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152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154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156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158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160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162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164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166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168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170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172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172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175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177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179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181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183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185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187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189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191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193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195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197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199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201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203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205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207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209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211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213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215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217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219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221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223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225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227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229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231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233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235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237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239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241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243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245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247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249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251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253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255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257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259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261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263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265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266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268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269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271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272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274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276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278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280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282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284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286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288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290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292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294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296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298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300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302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304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306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308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310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312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314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316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318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320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322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324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326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328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330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332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334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336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338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340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342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344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346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348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350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352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354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356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358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360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362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364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366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368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370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372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374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376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378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380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382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384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386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388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390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392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394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396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398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400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402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403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405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407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408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410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412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414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416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418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420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422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424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426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428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430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432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434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436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438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440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442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444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446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448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450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452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454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456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458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460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462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464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695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691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692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693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694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696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697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698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699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700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701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703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702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704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705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706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707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708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709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710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711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712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713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714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715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716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717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718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719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720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721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722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723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724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725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726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727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728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729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730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731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732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733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734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735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736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737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738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739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740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741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742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743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744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745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746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747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748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749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750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751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752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753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754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755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756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757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758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759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760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761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762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763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764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765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766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767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768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769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770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771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772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773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774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775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776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777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781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779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778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782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780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783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784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785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786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787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788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789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790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791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792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793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794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795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796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797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798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468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470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646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471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472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473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474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475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476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477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478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479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480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481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482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483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484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485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486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487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488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489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490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491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492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493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494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495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657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686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681</v>
      </c>
      <c r="B3" s="204" t="s">
        <v>684</v>
      </c>
      <c r="E3" s="206" t="s">
        <v>799</v>
      </c>
      <c r="F3" s="207"/>
      <c r="G3" s="206" t="s">
        <v>800</v>
      </c>
      <c r="H3" s="207"/>
      <c r="I3" s="206" t="s">
        <v>801</v>
      </c>
      <c r="J3" s="207"/>
      <c r="K3" s="206" t="s">
        <v>688</v>
      </c>
    </row>
    <row r="4" spans="2:11" ht="12.75" hidden="1">
      <c r="B4" t="s">
        <v>683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681</v>
      </c>
      <c r="B5" s="74"/>
      <c r="D5" s="202" t="str">
        <f>_xlfn.IFNA(VLOOKUP(E$4,'Escala Docente'!$C$8:$AZ$326,2,FALSE),"SIN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Docente'!$C$8:$AZ$326,2,FALSE),"SIN ESPEC")</f>
        <v>Maestro Materia Especial</v>
      </c>
      <c r="G5" s="202" t="str">
        <f>F5</f>
        <v>Maestro Materia Especial</v>
      </c>
      <c r="H5" s="202" t="str">
        <f>_xlfn.IFNA(VLOOKUP(I$4,'Escala Docente'!$C$8:$AZ$326,2,FALSE),"SIN ESPEC")</f>
        <v>Prol Jor (13-515) 16 horas</v>
      </c>
      <c r="I5" s="202" t="str">
        <f>H5</f>
        <v>Prol Jor (13-515) 16 horas</v>
      </c>
      <c r="J5" s="202" t="str">
        <f>_xlfn.IFNA(VLOOKUP(K$4,'Escala Docente'!$C$8:$AZ$326,2,FALSE),"SIN ESPEC")</f>
        <v>SIN ESPEC</v>
      </c>
      <c r="K5" s="202" t="str">
        <f>J5</f>
        <v>SIN ESPEC</v>
      </c>
    </row>
    <row r="6" spans="1:11" ht="12.75" customHeight="1">
      <c r="A6" t="s">
        <v>658</v>
      </c>
      <c r="C6" s="8">
        <v>0</v>
      </c>
      <c r="D6" s="209">
        <f>_xlfn.IFNA(VLOOKUP(E$4,'Escala Docente'!$C$8:$AZ$326,4,FALSE),0)</f>
        <v>19618.86</v>
      </c>
      <c r="E6" s="203">
        <f>ROUND(D6*E$1/30,2)</f>
        <v>19618.86</v>
      </c>
      <c r="F6" s="209">
        <f>_xlfn.IFNA(VLOOKUP(G$4,'Escala Docente'!$C$8:$AZ$326,4,FALSE),0)</f>
        <v>80379.38</v>
      </c>
      <c r="G6" s="203">
        <f>ROUND(F6*G$1/30,2)</f>
        <v>80379.38</v>
      </c>
      <c r="H6" s="209">
        <f>_xlfn.IFNA(VLOOKUP(I$4,'Escala Docente'!$C$8:$AZ$326,4,FALSE),0)</f>
        <v>205294.4</v>
      </c>
      <c r="I6" s="203">
        <f>ROUND(H6*I$1/30,2)</f>
        <v>205294.4</v>
      </c>
      <c r="J6" s="209">
        <f>_xlfn.IFNA(VLOOKUP(K$4,'Escala Docente'!$C$8:$AZ$326,4,FALSE),0)</f>
        <v>0</v>
      </c>
      <c r="K6" s="203">
        <f>ROUND(J6*K$1/30,2)</f>
        <v>0</v>
      </c>
    </row>
    <row r="7" spans="1:11" ht="12.75" customHeight="1">
      <c r="A7" t="s">
        <v>659</v>
      </c>
      <c r="C7" s="8">
        <f>Valores!F91</f>
        <v>0</v>
      </c>
      <c r="D7" s="209">
        <f>_xlfn.IFNA(VLOOKUP(E$4,'Escala Docente'!$C$8:$AZ$326,34,FALSE),0)</f>
        <v>6999.999999999989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Docente'!$C$8:$AZ$326,34,FALSE),0)</f>
        <v>35000</v>
      </c>
      <c r="G7" s="203">
        <f>IF($E7&gt;0,0,ROUND($F7*G$1/30,2))</f>
        <v>35000</v>
      </c>
      <c r="H7" s="209">
        <f>_xlfn.IFNA(VLOOKUP(I$4,'Escala Docente'!$C$8:$AZ$326,34,FALSE),0)</f>
        <v>0</v>
      </c>
      <c r="I7" s="203">
        <f>IF($E7&gt;0,0,ROUND($H7*I$1/30,2))</f>
        <v>0</v>
      </c>
      <c r="J7" s="209">
        <f>_xlfn.IFNA(VLOOKUP(K$4,'Escala Docente'!$C$8:$AZ$326,34,FALSE),0)</f>
        <v>0</v>
      </c>
      <c r="K7" s="203">
        <f>IF($E7&gt;0,0,ROUND($J7*K$1/30,2))</f>
        <v>0</v>
      </c>
    </row>
    <row r="8" spans="1:11" ht="12.75" customHeight="1">
      <c r="A8" t="s">
        <v>660</v>
      </c>
      <c r="C8" s="8">
        <f>Valores!F98</f>
        <v>108631.74</v>
      </c>
      <c r="D8" s="209">
        <f>_xlfn.IFNA(VLOOKUP(E$4,'Escala Docente'!$C$8:$AZ$326,24,FALSE),0)</f>
        <v>8085.8099999999995</v>
      </c>
      <c r="E8" s="203">
        <f>IF((ROUND(D8*E$1/30,2)+(ROUND(F8*$G$1/30,2))+ROUND(H8*$I$1/30,2)+ROUND(J8*$K$1/30,2))&gt;C8,C8,(ROUND(D8*E$1/30,2)+ROUND(F8*$G$1/30,2)+ROUND(H8*$I$1/30,2)+ROUND(J8*$K$1/30,2)))</f>
        <v>66029.99</v>
      </c>
      <c r="F8" s="209">
        <f>_xlfn.IFNA(VLOOKUP(G$4,'Escala Docente'!$C$8:$AZ$326,24,FALSE),0)</f>
        <v>57944.18</v>
      </c>
      <c r="G8" s="203">
        <f>IF($E8&gt;0,0,ROUND($F8*G$1/30,2))</f>
        <v>0</v>
      </c>
      <c r="H8" s="209">
        <f>_xlfn.IFNA(VLOOKUP(I$4,'Escala Docente'!$C$8:$AZ$326,24,FALSE),0)</f>
        <v>0</v>
      </c>
      <c r="I8" s="203">
        <f>IF($E8&gt;0,0,ROUND($H8*I$1/30,2))</f>
        <v>0</v>
      </c>
      <c r="J8" s="209">
        <f>_xlfn.IFNA(VLOOKUP(K$4,'Escala Docente'!$C$8:$AZ$326,24,FALSE),0)</f>
        <v>0</v>
      </c>
      <c r="K8" s="203">
        <f>IF($E8&gt;0,0,ROUND($J8*K$1/30,2))</f>
        <v>0</v>
      </c>
    </row>
    <row r="9" spans="1:11" ht="12.75" customHeight="1">
      <c r="A9" t="s">
        <v>661</v>
      </c>
      <c r="C9" s="8">
        <v>0</v>
      </c>
      <c r="D9" s="209">
        <f>_xlfn.IFNA(VLOOKUP(E$4,'Escala Docente'!$C$8:$AZ$326,13,FALSE),0)</f>
        <v>8421.45</v>
      </c>
      <c r="E9" s="203">
        <f>ROUND(D9*E$1/30,2)</f>
        <v>8421.45</v>
      </c>
      <c r="F9" s="209">
        <f>_xlfn.IFNA(VLOOKUP(G$4,'Escala Docente'!$C$8:$AZ$326,13,FALSE),0)</f>
        <v>71528.26</v>
      </c>
      <c r="G9" s="203">
        <f>ROUND(F9*G$1/30,2)</f>
        <v>71528.26</v>
      </c>
      <c r="H9" s="209">
        <f>_xlfn.IFNA(VLOOKUP(I$4,'Escala Docente'!$C$8:$AZ$326,13,FALSE),0)</f>
        <v>0</v>
      </c>
      <c r="I9" s="203">
        <f>ROUND(H9*I$1/30,2)</f>
        <v>0</v>
      </c>
      <c r="J9" s="209">
        <f>_xlfn.IFNA(VLOOKUP(K$4,'Escala Docente'!$C$8:$AZ$326,13,FALSE),0)</f>
        <v>0</v>
      </c>
      <c r="K9" s="203">
        <f>ROUND(J9*K$1/30,2)</f>
        <v>0</v>
      </c>
    </row>
    <row r="10" spans="1:11" ht="12.75" customHeight="1">
      <c r="A10" t="s">
        <v>662</v>
      </c>
      <c r="C10" s="8">
        <f>IF('Escala Docente'!$F$4="NO",Valores!F47,Valores!F47/2)</f>
        <v>48169.84</v>
      </c>
      <c r="D10" s="209">
        <f>_xlfn.IFNA(VLOOKUP(E$4,'Escala Docente'!$C$8:$AZ$326,16,FALSE),0)</f>
        <v>4435.950000000001</v>
      </c>
      <c r="E10" s="203">
        <f>IF((ROUND(D10*E$1/30,2)+(ROUND(F10*$G$1/30,2))+ROUND(H10*$I$1/30,2)+ROUND(J10*$K$1/30,2))&gt;C10,C10,(ROUND(D10*E$1/30,2)+ROUND(F10*$G$1/30,2)+ROUND(H10*$I$1/30,2)+ROUND(J10*$K$1/30,2)))</f>
        <v>48169.84</v>
      </c>
      <c r="F10" s="209">
        <f>_xlfn.IFNA(VLOOKUP(G$4,'Escala Docente'!$C$8:$AZ$326,16,FALSE),0)</f>
        <v>27739.24</v>
      </c>
      <c r="G10" s="203">
        <f>IF($E10&gt;0,0,ROUND($F10*G$1/30,2))</f>
        <v>0</v>
      </c>
      <c r="H10" s="209">
        <f>_xlfn.IFNA(VLOOKUP(I$4,'Escala Docente'!$C$8:$AZ$326,16,FALSE),0)</f>
        <v>23658.4</v>
      </c>
      <c r="I10" s="203">
        <f>IF($E10&gt;0,0,ROUND($H10*I$1/30,2))</f>
        <v>0</v>
      </c>
      <c r="J10" s="209">
        <f>_xlfn.IFNA(VLOOKUP(K$4,'Escala Docente'!$C$8:$AZ$326,16,FALSE),0)</f>
        <v>0</v>
      </c>
      <c r="K10" s="203">
        <f>IF($E10&gt;0,0,ROUND($J10*K$1/30,2))</f>
        <v>0</v>
      </c>
    </row>
    <row r="11" spans="1:11" ht="12.75">
      <c r="A11" t="s">
        <v>663</v>
      </c>
      <c r="C11" s="8">
        <f>Valores!F26</f>
        <v>1730.69</v>
      </c>
      <c r="D11" s="209">
        <f>_xlfn.IFNA(VLOOKUP(E$4,'Escala Docente'!$C$8:$AZ$326,27,FALSE),0)</f>
        <v>0</v>
      </c>
      <c r="E11" s="203">
        <f>ROUND(D11*E$1/30,2)</f>
        <v>0</v>
      </c>
      <c r="F11" s="209">
        <f>_xlfn.IFNA(VLOOKUP(G$4,'Escala Docente'!$C$8:$AZ$326,27,FALSE),0)</f>
        <v>0</v>
      </c>
      <c r="G11" s="203">
        <f>IF(E11&gt;=C11,0,IF((F11*G$1/30)&gt;(E11-C11),F11*G$1/30,E11-C11))</f>
        <v>0</v>
      </c>
      <c r="H11" s="209">
        <f>_xlfn.IFNA(VLOOKUP(I$4,'Escala Docente'!$C$8:$AZ$326,27,FALSE),0)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Docente'!$C$8:$AZ$326,27,FALSE),0)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664</v>
      </c>
      <c r="C12" s="8">
        <v>0</v>
      </c>
      <c r="D12" s="209">
        <f>_xlfn.IFNA(VLOOKUP(E$4,'Escala Docente'!$C$8:$AZ$326,6,FALSE),0)</f>
        <v>0</v>
      </c>
      <c r="E12" s="203">
        <f>ROUND(D12*E$1/30,2)</f>
        <v>0</v>
      </c>
      <c r="F12" s="209">
        <f>_xlfn.IFNA(VLOOKUP(G$4,'Escala Docente'!$C$8:$AZ$326,6,FALSE),0)</f>
        <v>0</v>
      </c>
      <c r="G12" s="203">
        <f>ROUND(F12*G$1/30,2)</f>
        <v>0</v>
      </c>
      <c r="H12" s="209">
        <f>_xlfn.IFNA(VLOOKUP(I$4,'Escala Docente'!$C$8:$AZ$326,6,FALSE),0)</f>
        <v>0</v>
      </c>
      <c r="I12" s="203">
        <f>ROUND(H12*I$1/30,2)</f>
        <v>0</v>
      </c>
      <c r="J12" s="209">
        <f>_xlfn.IFNA(VLOOKUP(K$4,'Escala Docente'!$C$8:$AZ$326,6,FALSE),0)</f>
        <v>0</v>
      </c>
      <c r="K12" s="203">
        <f>ROUND(J12*K$1/30,2)</f>
        <v>0</v>
      </c>
    </row>
    <row r="13" spans="1:11" ht="12.75" customHeight="1">
      <c r="A13" t="s">
        <v>676</v>
      </c>
      <c r="C13" s="8">
        <v>0</v>
      </c>
      <c r="D13" s="209">
        <f>_xlfn.IFNA(VLOOKUP(E$4,'Escala Docente'!$C$8:$AZ$326,15,FALSE),0)</f>
        <v>0</v>
      </c>
      <c r="E13" s="203">
        <f>ROUND(D13*E$1/30,2)</f>
        <v>0</v>
      </c>
      <c r="F13" s="209">
        <f>_xlfn.IFNA(VLOOKUP(G$4,'Escala Docente'!$C$8:$AZ$326,15,FALSE),0)</f>
        <v>35136.41</v>
      </c>
      <c r="G13" s="203">
        <f>ROUND(F13*G$1/30,2)</f>
        <v>35136.41</v>
      </c>
      <c r="H13" s="209">
        <f>_xlfn.IFNA(VLOOKUP(I$4,'Escala Docente'!$C$8:$AZ$326,15,FALSE),0)</f>
        <v>0</v>
      </c>
      <c r="I13" s="203">
        <f>ROUND(H13*I$1/30,2)</f>
        <v>0</v>
      </c>
      <c r="J13" s="209">
        <f>_xlfn.IFNA(VLOOKUP(K$4,'Escala Docente'!$C$8:$AZ$326,15,FALSE),0)</f>
        <v>0</v>
      </c>
      <c r="K13" s="203">
        <f>ROUND(J13*K$1/30,2)</f>
        <v>0</v>
      </c>
    </row>
    <row r="14" spans="1:11" ht="12.75" customHeight="1">
      <c r="A14" t="s">
        <v>665</v>
      </c>
      <c r="C14" s="8">
        <v>0</v>
      </c>
      <c r="D14" s="209">
        <f>_xlfn.IFNA(VLOOKUP(E$4,'Escala Docente'!$C$8:$AZ$326,8,FALSE),0)</f>
        <v>0</v>
      </c>
      <c r="E14" s="203">
        <f>ROUND(D14*E$1/30,2)</f>
        <v>0</v>
      </c>
      <c r="F14" s="209">
        <f>_xlfn.IFNA(VLOOKUP(G$4,'Escala Docente'!$C$8:$AZ$326,8,FALSE),0)</f>
        <v>0</v>
      </c>
      <c r="G14" s="203">
        <f>ROUND(F14*G$1/30,2)</f>
        <v>0</v>
      </c>
      <c r="H14" s="209">
        <f>_xlfn.IFNA(VLOOKUP(I$4,'Escala Docente'!$C$8:$AZ$326,8,FALSE),0)</f>
        <v>0</v>
      </c>
      <c r="I14" s="203">
        <f>ROUND(H14*I$1/30,2)</f>
        <v>0</v>
      </c>
      <c r="J14" s="209">
        <f>_xlfn.IFNA(VLOOKUP(K$4,'Escala Docente'!$C$8:$AZ$326,8,FALSE),0)</f>
        <v>0</v>
      </c>
      <c r="K14" s="203">
        <f>ROUND(J14*K$1/30,2)</f>
        <v>0</v>
      </c>
    </row>
    <row r="15" spans="1:11" ht="12.75" customHeight="1">
      <c r="A15" t="s">
        <v>666</v>
      </c>
      <c r="C15" s="8">
        <f>Valores!D5</f>
        <v>42317.14</v>
      </c>
      <c r="D15" s="209">
        <f>_xlfn.IFNA(VLOOKUP(E$4,'Escala Docente'!$C$8:$AZ$326,14,FALSE),0)</f>
        <v>8463.42</v>
      </c>
      <c r="E15" s="203">
        <f>IF((ROUND(D15*E$1/30,2)+(ROUND(F15*$G$1/30,2))+ROUND(H15*$I$1/30,2)+ROUND(J15*$K$1/30,2))&gt;C15,C15,(ROUND(D15*E$1/30,2)+ROUND(F15*$G$1/30,2)+ROUND(H15*$I$1/30,2)+ROUND(J15*$K$1/30,2)))</f>
        <v>42317.14</v>
      </c>
      <c r="F15" s="209">
        <f>_xlfn.IFNA(VLOOKUP(G$4,'Escala Docente'!$C$8:$AZ$326,14,FALSE),0)</f>
        <v>42317.14</v>
      </c>
      <c r="G15" s="203">
        <f>IF($E15&gt;0,0,ROUND($F15*G$1/30,2))</f>
        <v>0</v>
      </c>
      <c r="H15" s="209">
        <f>_xlfn.IFNA(VLOOKUP(I$4,'Escala Docente'!$C$8:$AZ$326,14,FALSE),0)</f>
        <v>0</v>
      </c>
      <c r="I15" s="203">
        <f>IF($E15&gt;0,0,ROUND($H15*I$1/30,2))</f>
        <v>0</v>
      </c>
      <c r="J15" s="209">
        <f>_xlfn.IFNA(VLOOKUP(K$4,'Escala Docente'!$C$8:$AZ$326,14,FALSE),0)</f>
        <v>0</v>
      </c>
      <c r="K15" s="203">
        <f>IF($E15&gt;0,0,ROUND($J15*K$1/30,2))</f>
        <v>0</v>
      </c>
    </row>
    <row r="16" spans="1:11" ht="12.75">
      <c r="A16" t="s">
        <v>667</v>
      </c>
      <c r="C16" s="8">
        <f>Valores!F25</f>
        <v>2434.81</v>
      </c>
      <c r="D16" s="209">
        <f>_xlfn.IFNA(VLOOKUP(E$4,'Escala Docente'!$C$8:$AZ$326,25,FALSE),0)</f>
        <v>208.07999999999998</v>
      </c>
      <c r="E16" s="203">
        <f>ROUND(D16*E$1/30,2)</f>
        <v>208.08</v>
      </c>
      <c r="F16" s="209">
        <f>_xlfn.IFNA(VLOOKUP(G$4,'Escala Docente'!$C$8:$AZ$326,25,FALSE),0)</f>
        <v>1730.69</v>
      </c>
      <c r="G16" s="203">
        <f>IF(E16&gt;=C16,0,IF((F16*G$1/30)&gt;(E16-C16),F16*G$1/30,E16-C16))</f>
        <v>1730.69</v>
      </c>
      <c r="H16" s="209">
        <f>_xlfn.IFNA(VLOOKUP(I$4,'Escala Docente'!$C$8:$AZ$326,25,FALSE),0)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Docente'!$C$8:$AZ$326,25,FALSE),0)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680</v>
      </c>
      <c r="C17" s="8">
        <v>0</v>
      </c>
      <c r="D17" s="209">
        <f>_xlfn.IFNA(VLOOKUP(E$4,'Escala Docente'!$C$8:$AZ$326,22,FALSE),0)</f>
        <v>0</v>
      </c>
      <c r="E17" s="203">
        <f>ROUND(D17*E$1/30,2)</f>
        <v>0</v>
      </c>
      <c r="F17" s="209">
        <f>_xlfn.IFNA(VLOOKUP(G$4,'Escala Docente'!$C$8:$AZ$326,22,FALSE),0)</f>
        <v>0</v>
      </c>
      <c r="G17" s="203">
        <f>ROUND(F17*G$1/30,2)</f>
        <v>0</v>
      </c>
      <c r="H17" s="209">
        <f>_xlfn.IFNA(VLOOKUP(I$4,'Escala Docente'!$C$8:$AZ$326,22,FALSE),0)</f>
        <v>0</v>
      </c>
      <c r="I17" s="203">
        <f>ROUND(H17*I$1/30,2)</f>
        <v>0</v>
      </c>
      <c r="J17" s="209">
        <f>_xlfn.IFNA(VLOOKUP(K$4,'Escala Docente'!$C$8:$AZ$326,22,FALSE),0)</f>
        <v>0</v>
      </c>
      <c r="K17" s="203">
        <f>ROUND(J17*K$1/30,2)</f>
        <v>0</v>
      </c>
    </row>
    <row r="18" spans="1:11" ht="12.75" customHeight="1">
      <c r="A18" t="s">
        <v>679</v>
      </c>
      <c r="C18" s="8">
        <v>0</v>
      </c>
      <c r="D18" s="209">
        <f>_xlfn.IFNA(VLOOKUP(E$4,'Escala Docente'!$C$8:$AZ$326,10,FALSE),0)</f>
        <v>0</v>
      </c>
      <c r="E18" s="203">
        <f>ROUND(D18*E$1/30,2)</f>
        <v>0</v>
      </c>
      <c r="F18" s="209">
        <f>_xlfn.IFNA(VLOOKUP(G$4,'Escala Docente'!$C$8:$AZ$326,10,FALSE),0)</f>
        <v>0</v>
      </c>
      <c r="G18" s="203">
        <f>ROUND(F18*G$1/30,2)</f>
        <v>0</v>
      </c>
      <c r="H18" s="209">
        <f>_xlfn.IFNA(VLOOKUP(I$4,'Escala Docente'!$C$8:$AZ$326,10,FALSE),0)</f>
        <v>0</v>
      </c>
      <c r="I18" s="203">
        <f>ROUND(H18*I$1/30,2)</f>
        <v>0</v>
      </c>
      <c r="J18" s="209">
        <f>_xlfn.IFNA(VLOOKUP(K$4,'Escala Docente'!$C$8:$AZ$326,10,FALSE),0)</f>
        <v>0</v>
      </c>
      <c r="K18" s="203">
        <f>ROUND(J18*K$1/30,2)</f>
        <v>0</v>
      </c>
    </row>
    <row r="19" spans="1:11" ht="12.75" customHeight="1">
      <c r="A19" s="102" t="s">
        <v>668</v>
      </c>
      <c r="B19" s="102"/>
      <c r="C19" s="8">
        <v>0</v>
      </c>
      <c r="D19" s="209">
        <f>_xlfn.IFNA(VLOOKUP(E$4,'Escala Docente'!$C$8:$AZ$326,12,FALSE),0)</f>
        <v>0</v>
      </c>
      <c r="E19" s="203">
        <f>ROUND(E6+E12+E18+E10+E17,2)*'Escala Docente'!$H$2</f>
        <v>0</v>
      </c>
      <c r="F19" s="209">
        <f>_xlfn.IFNA(VLOOKUP(G$4,'Escala Docente'!$C$8:$AZ$326,12,FALSE),0)</f>
        <v>0</v>
      </c>
      <c r="G19" s="203">
        <f>ROUND(G6+G12+G18+G10+G17,2)*'Escala Docente'!$H$2</f>
        <v>0</v>
      </c>
      <c r="H19" s="209">
        <f>_xlfn.IFNA(VLOOKUP(I$4,'Escala Docente'!$C$8:$AZ$326,12,FALSE),0)</f>
        <v>0</v>
      </c>
      <c r="I19" s="203">
        <f>ROUND(I6+I12+I18+I10+I17,2)*'Escala Docente'!$H$2</f>
        <v>0</v>
      </c>
      <c r="J19" s="209">
        <f>_xlfn.IFNA(VLOOKUP(K$4,'Escala Docente'!$C$8:$AZ$326,12,FALSE),0)</f>
        <v>0</v>
      </c>
      <c r="K19" s="203">
        <f>ROUND(K6+K12+K18+K10+K17,2)*'Escala Docente'!$H$2</f>
        <v>0</v>
      </c>
    </row>
    <row r="20" spans="1:11" ht="12.75" customHeight="1">
      <c r="A20" t="s">
        <v>675</v>
      </c>
      <c r="C20" s="8">
        <v>0</v>
      </c>
      <c r="D20" s="209">
        <f>_xlfn.IFNA(VLOOKUP(E$4,'Escala Docente'!$C$8:$AZ$326,29,FALSE),0)</f>
        <v>0</v>
      </c>
      <c r="E20" s="203">
        <f>ROUND(D20*E$1/30,2)</f>
        <v>0</v>
      </c>
      <c r="F20" s="209">
        <f>_xlfn.IFNA(VLOOKUP(G$4,'Escala Docente'!$C$8:$AZ$326,29,FALSE),0)</f>
        <v>0</v>
      </c>
      <c r="G20" s="203">
        <f>ROUND(F20*G$1/30,2)</f>
        <v>0</v>
      </c>
      <c r="H20" s="209">
        <f>_xlfn.IFNA(VLOOKUP(I$4,'Escala Docente'!$C$8:$AZ$326,29,FALSE),0)</f>
        <v>0</v>
      </c>
      <c r="I20" s="203">
        <f>ROUND(H20*I$1/30,2)</f>
        <v>0</v>
      </c>
      <c r="J20" s="209">
        <f>_xlfn.IFNA(VLOOKUP(K$4,'Escala Docente'!$C$8:$AZ$326,29,FALSE),0)</f>
        <v>0</v>
      </c>
      <c r="K20" s="203">
        <f>ROUND(J20*K$1/30,2)</f>
        <v>0</v>
      </c>
    </row>
    <row r="21" spans="1:11" ht="12.75" customHeight="1">
      <c r="A21" t="s">
        <v>669</v>
      </c>
      <c r="C21" s="8">
        <v>0</v>
      </c>
      <c r="D21" s="209">
        <f>_xlfn.IFNA(VLOOKUP(E$4,'Escala Docente'!$C$8:$AZ$326,18,FALSE),0)</f>
        <v>2648.64</v>
      </c>
      <c r="E21" s="203">
        <f>ROUND(D21*E$1/30,2)</f>
        <v>2648.64</v>
      </c>
      <c r="F21" s="209">
        <f>_xlfn.IFNA(VLOOKUP(G$4,'Escala Docente'!$C$8:$AZ$326,18,FALSE),0)</f>
        <v>39374.32</v>
      </c>
      <c r="G21" s="203">
        <f>ROUND(F21*G$1/30,2)</f>
        <v>39374.32</v>
      </c>
      <c r="H21" s="209">
        <f>_xlfn.IFNA(VLOOKUP(I$4,'Escala Docente'!$C$8:$AZ$326,18,FALSE),0)</f>
        <v>0</v>
      </c>
      <c r="I21" s="203">
        <f>ROUND(H21*I$1/30,2)</f>
        <v>0</v>
      </c>
      <c r="J21" s="209">
        <f>_xlfn.IFNA(VLOOKUP(K$4,'Escala Docente'!$C$8:$AZ$326,18,FALSE),0)</f>
        <v>0</v>
      </c>
      <c r="K21" s="203">
        <f>ROUND(J21*K$1/30,2)</f>
        <v>0</v>
      </c>
    </row>
    <row r="22" spans="1:11" ht="12.75" customHeight="1">
      <c r="A22" s="102" t="s">
        <v>673</v>
      </c>
      <c r="B22" s="102"/>
      <c r="C22" s="8">
        <v>0</v>
      </c>
      <c r="D22" s="209">
        <f>_xlfn.IFNA(VLOOKUP(E$4,'Escala Docente'!$C$8:$AZ$326,26,FALSE),0)</f>
        <v>0</v>
      </c>
      <c r="E22" s="203">
        <f>ROUND(D22*E$1/30,2)</f>
        <v>0</v>
      </c>
      <c r="F22" s="209">
        <f>_xlfn.IFNA(VLOOKUP(G$4,'Escala Docente'!$C$8:$AZ$326,26,FALSE),0)</f>
        <v>0</v>
      </c>
      <c r="G22" s="203">
        <f>ROUND(F22*G$1/30,2)</f>
        <v>0</v>
      </c>
      <c r="H22" s="209">
        <f>_xlfn.IFNA(VLOOKUP(I$4,'Escala Docente'!$C$8:$AZ$326,26,FALSE),0)</f>
        <v>0</v>
      </c>
      <c r="I22" s="203">
        <f>ROUND(H22*I$1/30,2)</f>
        <v>0</v>
      </c>
      <c r="J22" s="209">
        <f>_xlfn.IFNA(VLOOKUP(K$4,'Escala Docente'!$C$8:$AZ$326,26,FALSE),0)</f>
        <v>0</v>
      </c>
      <c r="K22" s="203">
        <f>ROUND(J22*K$1/30,2)</f>
        <v>0</v>
      </c>
    </row>
    <row r="23" spans="1:11" ht="12.75" customHeight="1">
      <c r="A23" t="s">
        <v>678</v>
      </c>
      <c r="C23" s="8">
        <v>0</v>
      </c>
      <c r="D23" s="209">
        <f>_xlfn.IFNA(VLOOKUP(E$4,'Escala Docente'!$C$8:$AZ$326,23,FALSE),0)</f>
        <v>0</v>
      </c>
      <c r="E23" s="203">
        <f>ROUND(D23*E$1/30,2)</f>
        <v>0</v>
      </c>
      <c r="F23" s="209">
        <f>_xlfn.IFNA(VLOOKUP(G$4,'Escala Docente'!$C$8:$AZ$326,23,FALSE),0)</f>
        <v>0</v>
      </c>
      <c r="G23" s="203">
        <f>ROUND(F23*G$1/30,2)</f>
        <v>0</v>
      </c>
      <c r="H23" s="209">
        <f>_xlfn.IFNA(VLOOKUP(I$4,'Escala Docente'!$C$8:$AZ$326,23,FALSE),0)</f>
        <v>0</v>
      </c>
      <c r="I23" s="203">
        <f>ROUND(H23*I$1/30,2)</f>
        <v>0</v>
      </c>
      <c r="J23" s="209">
        <f>_xlfn.IFNA(VLOOKUP(K$4,'Escala Docente'!$C$8:$AZ$326,23,FALSE),0)</f>
        <v>0</v>
      </c>
      <c r="K23" s="203">
        <f>ROUND(J23*K$1/30,2)</f>
        <v>0</v>
      </c>
    </row>
    <row r="24" spans="1:11" ht="12.75" customHeight="1">
      <c r="A24" s="74" t="s">
        <v>689</v>
      </c>
      <c r="C24" s="8">
        <f>Valores!F39</f>
        <v>0</v>
      </c>
      <c r="D24" s="209">
        <f>_xlfn.IFNA(VLOOKUP(E$4,'Escala Docente'!$C$8:$AZ$326,35,FALSE),0)</f>
        <v>0</v>
      </c>
      <c r="E24" s="203">
        <f>ROUND(D24*E$1/30,2)</f>
        <v>0</v>
      </c>
      <c r="F24" s="209">
        <f>_xlfn.IFNA(VLOOKUP(G$4,'Escala Docente'!$C$8:$AZ$326,35,FALSE),0)</f>
        <v>0</v>
      </c>
      <c r="G24" s="203">
        <f>ROUND(F24*G$1/30,2)</f>
        <v>0</v>
      </c>
      <c r="H24" s="209">
        <f>_xlfn.IFNA(VLOOKUP(I$4,'Escala Docente'!$C$8:$AZ$326,35,FALSE),0)</f>
        <v>0</v>
      </c>
      <c r="I24" s="203">
        <f>ROUND(H24*I$1/30,2)</f>
        <v>0</v>
      </c>
      <c r="J24" s="209">
        <f>_xlfn.IFNA(VLOOKUP(K$4,'Escala Docente'!$C$8:$AZ$326,35,FALSE),0)</f>
        <v>0</v>
      </c>
      <c r="K24" s="203">
        <f>ROUND(J24*K$1/30,2)</f>
        <v>0</v>
      </c>
    </row>
    <row r="25" spans="1:11" ht="12.75" customHeight="1">
      <c r="A25" t="s">
        <v>670</v>
      </c>
      <c r="C25" s="8">
        <f>IF('Escala Docente'!$F$4="NO",Valores!F64,Valores!F64/2)</f>
        <v>39572.54</v>
      </c>
      <c r="D25" s="209">
        <f>_xlfn.IFNA(VLOOKUP(E$4,'Escala Docente'!$C$8:$AZ$326,30,FALSE),0)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Docente'!$C$8:$AZ$326,30,FALSE),0)</f>
        <v>0</v>
      </c>
      <c r="G25" s="203">
        <f>IF($E25&gt;0,0,ROUND($F25*G$1/30,2))</f>
        <v>0</v>
      </c>
      <c r="H25" s="209">
        <f>_xlfn.IFNA(VLOOKUP(I$4,'Escala Docente'!$C$8:$AZ$326,30,FALSE),0)</f>
        <v>0</v>
      </c>
      <c r="I25" s="203">
        <f>IF($E25&gt;0,0,ROUND($H25*I$1/30,2))</f>
        <v>0</v>
      </c>
      <c r="J25" s="209">
        <f>_xlfn.IFNA(VLOOKUP(K$4,'Escala Docente'!$C$8:$AZ$326,30,FALSE),0)</f>
        <v>0</v>
      </c>
      <c r="K25" s="203">
        <f>IF($E25&gt;0,0,ROUND($J25*K$1/30,2))</f>
        <v>0</v>
      </c>
    </row>
    <row r="26" spans="1:11" ht="12.75" customHeight="1">
      <c r="A26" t="s">
        <v>671</v>
      </c>
      <c r="C26" s="8">
        <f>Valores!F33</f>
        <v>70000</v>
      </c>
      <c r="D26" s="209">
        <f>_xlfn.IFNA(VLOOKUP(E$4,'Escala Docente'!$C$8:$AZ$326,33,FALSE),0)</f>
        <v>68957.45999999999</v>
      </c>
      <c r="E26" s="203">
        <f>IF((ROUND(D26*E$1/30,2)+(ROUND(F26*$G$1/30,2))+ROUND(H26*$I$1/30,2)+ROUND(J26*$K$1/30,2))&gt;C26,C26,(ROUND(D26*E$1/30,2)+ROUND(F26*$G$1/30,2)+ROUND(H26*$I$1/30,2)+ROUND(J26*$K$1/30,2)))</f>
        <v>70000</v>
      </c>
      <c r="F26" s="209">
        <f>_xlfn.IFNA(VLOOKUP(G$4,'Escala Docente'!$C$8:$AZ$326,33,FALSE),0)</f>
        <v>455993.8130000001</v>
      </c>
      <c r="G26" s="203">
        <f>IF($E26&gt;0,0,ROUND($F26*G$1/30,2))</f>
        <v>0</v>
      </c>
      <c r="H26" s="209">
        <f>_xlfn.IFNA(VLOOKUP(I$4,'Escala Docente'!$C$8:$AZ$326,33,FALSE),0)</f>
        <v>314810.1</v>
      </c>
      <c r="I26" s="203">
        <f>IF($E26&gt;0,0,ROUND($H26*I$1/30,2))</f>
        <v>0</v>
      </c>
      <c r="J26" s="209">
        <f>_xlfn.IFNA(VLOOKUP(K$4,'Escala Docente'!$C$8:$AZ$326,33,FALSE),0)</f>
        <v>0</v>
      </c>
      <c r="K26" s="203">
        <f>IF($E26&gt;0,0,ROUND($J26*K$1/30,2))</f>
        <v>0</v>
      </c>
    </row>
    <row r="27" spans="1:11" ht="12.75" customHeight="1">
      <c r="A27" t="s">
        <v>672</v>
      </c>
      <c r="C27" s="8" t="e">
        <f>IF('Escala Docente'!$F$4="NO",Valores!#REF!,Valores!#REF!/2)</f>
        <v>#REF!</v>
      </c>
      <c r="D27" s="209">
        <f>_xlfn.IFNA(VLOOKUP(E$4,'Escala Docente'!$C$8:$AZ$326,31,FALSE),0)</f>
        <v>3957.25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Docente'!$C$8:$AZ$326,31,FALSE),0)</f>
        <v>19786.28</v>
      </c>
      <c r="G27" s="203" t="e">
        <f>IF($E27&gt;0,0,ROUND($F27*G$1/30,2))</f>
        <v>#REF!</v>
      </c>
      <c r="H27" s="209">
        <f>_xlfn.IFNA(VLOOKUP(I$4,'Escala Docente'!$C$8:$AZ$326,31,FALSE),0)</f>
        <v>0</v>
      </c>
      <c r="I27" s="203" t="e">
        <f>IF($E27&gt;0,0,ROUND($H27*I$1/30,2))</f>
        <v>#REF!</v>
      </c>
      <c r="J27" s="209">
        <f>_xlfn.IFNA(VLOOKUP(K$4,'Escala Docente'!$C$8:$AZ$326,31,FALSE),0)</f>
        <v>0</v>
      </c>
      <c r="K27" s="203" t="e">
        <f>IF($E27&gt;0,0,ROUND($J27*K$1/30,2))</f>
        <v>#REF!</v>
      </c>
    </row>
    <row r="28" spans="1:11" ht="12.75">
      <c r="A28" t="s">
        <v>674</v>
      </c>
      <c r="C28" s="8">
        <f>Valores!F63</f>
        <v>0</v>
      </c>
      <c r="D28" s="209">
        <f>_xlfn.IFNA(VLOOKUP(E$4,'Escala Docente'!$C$8:$AZ$326,36,FALSE),0)</f>
        <v>0</v>
      </c>
      <c r="E28" s="203">
        <f>ROUND(D28*E$1/30,2)</f>
        <v>0</v>
      </c>
      <c r="F28" s="209">
        <f>_xlfn.IFNA(VLOOKUP(G$4,'Escala Docente'!$C$8:$AZ$326,36,FALSE),0)</f>
        <v>0</v>
      </c>
      <c r="G28" s="203">
        <f>IF(E28&gt;=C28,0,IF((F28*G$1/30)&gt;(E28-C28),F28*G$1/30,E28-C28))</f>
        <v>0</v>
      </c>
      <c r="H28" s="209">
        <f>_xlfn.IFNA(VLOOKUP(I$4,'Escala Docente'!$C$8:$AZ$326,36,FALSE),0)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Docente'!$C$8:$AZ$326,36,FALSE),0)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677</v>
      </c>
      <c r="C29" s="8">
        <v>0</v>
      </c>
      <c r="D29" s="209">
        <f>_xlfn.IFNA(VLOOKUP(E$4,'Escala Docente'!$C$8:$AZ$326,11,FALSE),0)</f>
        <v>6675.86</v>
      </c>
      <c r="E29" s="210">
        <f>ROUND(IF('Escala Docente'!$H$2=0,IF(AND(MID(E$3,1,5)&lt;&gt;"13930",MID(E$3,1,5)&lt;&gt;"13940"),(SUM(E6+E12+E14+E18+E10+E17+E21)*Valores!$C$4),0),0),2)</f>
        <v>17609.34</v>
      </c>
      <c r="F29" s="209">
        <f>_xlfn.IFNA(VLOOKUP(G$4,'Escala Docente'!$C$8:$AZ$326,11,FALSE),0)</f>
        <v>36873.24</v>
      </c>
      <c r="G29" s="210">
        <f>ROUND(IF('Escala Docente'!$H$2=0,IF(AND(MID(G$3,1,5)&lt;&gt;"13930",MID(G$3,1,5)&lt;&gt;"13940"),(SUM(G6+G12+G14+G18+G10+G17+G21)*Valores!$C$4),0),0),2)</f>
        <v>29938.43</v>
      </c>
      <c r="H29" s="209">
        <f>_xlfn.IFNA(VLOOKUP(I$4,'Escala Docente'!$C$8:$AZ$326,11,FALSE),0)</f>
        <v>57238.2</v>
      </c>
      <c r="I29" s="210">
        <f>ROUND(IF('Escala Docente'!$H$2=0,IF(AND(MID(I$3,1,5)&lt;&gt;"13930",MID(I$3,1,5)&lt;&gt;"13940"),(SUM(I6+I12+I14+I18+I10+I17+I21)*Valores!$C$4),0),0),2)</f>
        <v>51323.6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6" t="str">
        <f ca="1">MID(CELL("FILENAME",L41),FIND("[",CELL("FILENAME",L41))+1,FIND("]",CELL("FILENAME",L41))-FIND("[",CELL("FILENAME",L41))-1)</f>
        <v>Esc Doc 2024 03 Cba V 1 1.xlsx</v>
      </c>
      <c r="B1" s="246"/>
      <c r="C1" s="246"/>
      <c r="D1" s="246"/>
      <c r="E1" s="246"/>
      <c r="F1" s="246"/>
      <c r="G1" s="246"/>
      <c r="H1" s="246"/>
      <c r="I1" s="246"/>
      <c r="J1" s="246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7" t="s">
        <v>46</v>
      </c>
      <c r="B2" s="247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8" t="s">
        <v>496</v>
      </c>
      <c r="R3" s="248"/>
      <c r="S3" s="248"/>
      <c r="T3" s="249" t="s">
        <v>497</v>
      </c>
      <c r="U3" s="249"/>
      <c r="V3" s="249"/>
      <c r="W3" s="249"/>
      <c r="Y3" s="17"/>
    </row>
    <row r="4" spans="1:25" ht="19.5">
      <c r="A4" s="13"/>
      <c r="B4" s="13"/>
      <c r="C4" s="29" t="s">
        <v>498</v>
      </c>
      <c r="D4" s="30" t="s">
        <v>53</v>
      </c>
      <c r="E4" s="30" t="s">
        <v>499</v>
      </c>
      <c r="F4" s="30" t="s">
        <v>500</v>
      </c>
      <c r="G4" s="31" t="s">
        <v>54</v>
      </c>
      <c r="H4" s="32" t="s">
        <v>55</v>
      </c>
      <c r="I4" s="33" t="s">
        <v>501</v>
      </c>
      <c r="J4" s="34" t="s">
        <v>502</v>
      </c>
      <c r="K4" s="35" t="s">
        <v>501</v>
      </c>
      <c r="Q4" s="36" t="s">
        <v>503</v>
      </c>
      <c r="R4" s="37" t="s">
        <v>504</v>
      </c>
      <c r="S4" s="37" t="s">
        <v>505</v>
      </c>
      <c r="T4" s="38" t="s">
        <v>506</v>
      </c>
      <c r="U4" s="39" t="s">
        <v>507</v>
      </c>
      <c r="V4" s="39" t="s">
        <v>508</v>
      </c>
      <c r="W4" s="39" t="s">
        <v>505</v>
      </c>
      <c r="X4" s="40" t="s">
        <v>509</v>
      </c>
      <c r="Y4" s="40" t="s">
        <v>510</v>
      </c>
    </row>
    <row r="5" spans="1:25" ht="12.75">
      <c r="A5" s="14" t="s">
        <v>72</v>
      </c>
      <c r="B5" s="15" t="s">
        <v>73</v>
      </c>
      <c r="C5" s="41" t="s">
        <v>75</v>
      </c>
      <c r="D5" s="42" t="s">
        <v>82</v>
      </c>
      <c r="E5" s="42" t="s">
        <v>511</v>
      </c>
      <c r="F5" s="43"/>
      <c r="G5" s="43" t="s">
        <v>83</v>
      </c>
      <c r="H5" s="43" t="s">
        <v>84</v>
      </c>
      <c r="I5" s="44" t="s">
        <v>512</v>
      </c>
      <c r="J5" s="45" t="s">
        <v>513</v>
      </c>
      <c r="K5" s="44" t="s">
        <v>514</v>
      </c>
      <c r="L5" s="46" t="s">
        <v>515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516</v>
      </c>
      <c r="B6" s="16" t="s">
        <v>517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518</v>
      </c>
      <c r="B7" s="16" t="s">
        <v>519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498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520</v>
      </c>
      <c r="B8" s="16" t="s">
        <v>521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522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523</v>
      </c>
      <c r="B9" s="56" t="s">
        <v>524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525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526</v>
      </c>
      <c r="B10" s="56" t="s">
        <v>527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528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529</v>
      </c>
      <c r="B11" s="16" t="s">
        <v>530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531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532</v>
      </c>
      <c r="B12" s="16" t="s">
        <v>533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534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535</v>
      </c>
      <c r="B13" s="16" t="s">
        <v>536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537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538</v>
      </c>
      <c r="B14" s="16" t="s">
        <v>539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540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541</v>
      </c>
      <c r="B15" s="16" t="s">
        <v>542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543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544</v>
      </c>
      <c r="B16" s="16" t="s">
        <v>545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64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546</v>
      </c>
      <c r="B17" s="16" t="s">
        <v>547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548</v>
      </c>
      <c r="B18" s="16" t="s">
        <v>549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550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551</v>
      </c>
      <c r="B19" s="16" t="s">
        <v>552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553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554</v>
      </c>
      <c r="B20" s="16" t="s">
        <v>555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65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556</v>
      </c>
      <c r="B21" s="16" t="s">
        <v>557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556</v>
      </c>
      <c r="B22" s="16" t="s">
        <v>558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556</v>
      </c>
      <c r="B23" s="16" t="s">
        <v>559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556</v>
      </c>
      <c r="B24" s="16" t="s">
        <v>560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556</v>
      </c>
      <c r="B25" s="16" t="s">
        <v>561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556</v>
      </c>
      <c r="B26" s="16" t="s">
        <v>562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556</v>
      </c>
      <c r="B27" s="16" t="s">
        <v>563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556</v>
      </c>
      <c r="B28" s="16" t="s">
        <v>564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556</v>
      </c>
      <c r="B29" s="16" t="s">
        <v>565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556</v>
      </c>
      <c r="B30" s="16" t="s">
        <v>566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556</v>
      </c>
      <c r="B31" s="16" t="s">
        <v>567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556</v>
      </c>
      <c r="B32" s="16" t="s">
        <v>568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569</v>
      </c>
      <c r="Y34" s="17"/>
    </row>
    <row r="35" spans="1:25" ht="12.75" customHeight="1">
      <c r="A35" s="53" t="s">
        <v>570</v>
      </c>
      <c r="B35" s="16" t="s">
        <v>571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572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573</v>
      </c>
      <c r="B36" s="16" t="s">
        <v>574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575</v>
      </c>
      <c r="M36" s="16" t="s">
        <v>576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577</v>
      </c>
      <c r="B37" s="16" t="s">
        <v>578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579</v>
      </c>
      <c r="M37" s="16" t="s">
        <v>580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581</v>
      </c>
      <c r="B38" s="16" t="s">
        <v>582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583</v>
      </c>
      <c r="B39" s="16" t="s">
        <v>584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572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585</v>
      </c>
      <c r="B40" s="16" t="s">
        <v>586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572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587</v>
      </c>
      <c r="B41" s="16" t="s">
        <v>588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572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589</v>
      </c>
      <c r="B42" s="16" t="s">
        <v>590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572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591</v>
      </c>
      <c r="B43" s="16" t="s">
        <v>592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593</v>
      </c>
      <c r="B44" s="16" t="s">
        <v>594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575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595</v>
      </c>
      <c r="B45" s="16" t="s">
        <v>596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575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597</v>
      </c>
      <c r="B46" s="16" t="s">
        <v>598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575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599</v>
      </c>
      <c r="B47" s="16" t="s">
        <v>600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575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2023-10-29T22:53:58Z</cp:lastPrinted>
  <dcterms:created xsi:type="dcterms:W3CDTF">2005-08-10T23:49:01Z</dcterms:created>
  <dcterms:modified xsi:type="dcterms:W3CDTF">2024-04-03T16:21:48Z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