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iquidaciones\Grillas\DOCENTE\2024\"/>
    </mc:Choice>
  </mc:AlternateContent>
  <bookViews>
    <workbookView xWindow="0" yWindow="780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Docente'!$A$7:$BB$326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Valores!$A$62:$D$90</definedName>
    <definedName name="_xlnm.Print_Area" localSheetId="1">'Escala Docente'!$A$1:$AG$326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F13" i="1" l="1"/>
  <c r="AG6" i="2" l="1"/>
  <c r="P6" i="2"/>
  <c r="AG300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301" i="2"/>
  <c r="AG299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C63" i="1"/>
  <c r="C12" i="1" l="1"/>
  <c r="AF326" i="2" l="1"/>
  <c r="AF325" i="2"/>
  <c r="AF323" i="2"/>
  <c r="AF322" i="2"/>
  <c r="AF321" i="2"/>
  <c r="AF301" i="2"/>
  <c r="AF300" i="2"/>
  <c r="K111" i="1" l="1"/>
  <c r="K110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12" i="1"/>
  <c r="M136" i="1"/>
  <c r="M137" i="1"/>
  <c r="M135" i="1"/>
  <c r="O300" i="2" l="1"/>
  <c r="O326" i="2"/>
  <c r="O325" i="2"/>
  <c r="O324" i="2"/>
  <c r="O323" i="2"/>
  <c r="O322" i="2"/>
  <c r="O321" i="2"/>
  <c r="O301" i="2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C33" i="1"/>
  <c r="AC292" i="2" s="1"/>
  <c r="C34" i="1"/>
  <c r="AC300" i="2" s="1"/>
  <c r="AC237" i="2" l="1"/>
  <c r="AC285" i="2"/>
  <c r="AC214" i="2"/>
  <c r="AC246" i="2"/>
  <c r="AC286" i="2"/>
  <c r="AC191" i="2"/>
  <c r="AC199" i="2"/>
  <c r="AC207" i="2"/>
  <c r="AC215" i="2"/>
  <c r="AC223" i="2"/>
  <c r="AC231" i="2"/>
  <c r="AC239" i="2"/>
  <c r="AC247" i="2"/>
  <c r="AC255" i="2"/>
  <c r="AC263" i="2"/>
  <c r="AC271" i="2"/>
  <c r="AC279" i="2"/>
  <c r="AC287" i="2"/>
  <c r="AC295" i="2"/>
  <c r="AC213" i="2"/>
  <c r="AC245" i="2"/>
  <c r="AC269" i="2"/>
  <c r="AC222" i="2"/>
  <c r="AC262" i="2"/>
  <c r="AC192" i="2"/>
  <c r="AC200" i="2"/>
  <c r="AC208" i="2"/>
  <c r="AC216" i="2"/>
  <c r="AC224" i="2"/>
  <c r="AC232" i="2"/>
  <c r="AC240" i="2"/>
  <c r="AC248" i="2"/>
  <c r="AC256" i="2"/>
  <c r="AC264" i="2"/>
  <c r="AC272" i="2"/>
  <c r="AC280" i="2"/>
  <c r="AC288" i="2"/>
  <c r="AC296" i="2"/>
  <c r="AC197" i="2"/>
  <c r="AC229" i="2"/>
  <c r="AC261" i="2"/>
  <c r="AC198" i="2"/>
  <c r="AC270" i="2"/>
  <c r="AC193" i="2"/>
  <c r="AC201" i="2"/>
  <c r="AC209" i="2"/>
  <c r="AC217" i="2"/>
  <c r="AC225" i="2"/>
  <c r="AC233" i="2"/>
  <c r="AC241" i="2"/>
  <c r="AC249" i="2"/>
  <c r="AC257" i="2"/>
  <c r="AC265" i="2"/>
  <c r="AC273" i="2"/>
  <c r="AC281" i="2"/>
  <c r="AC289" i="2"/>
  <c r="AC297" i="2"/>
  <c r="AC221" i="2"/>
  <c r="AC293" i="2"/>
  <c r="AC230" i="2"/>
  <c r="AC254" i="2"/>
  <c r="AC194" i="2"/>
  <c r="AC202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205" i="2"/>
  <c r="AC253" i="2"/>
  <c r="AC277" i="2"/>
  <c r="AC206" i="2"/>
  <c r="AC238" i="2"/>
  <c r="AC294" i="2"/>
  <c r="AC195" i="2"/>
  <c r="AC203" i="2"/>
  <c r="AC211" i="2"/>
  <c r="AC219" i="2"/>
  <c r="AC227" i="2"/>
  <c r="AC235" i="2"/>
  <c r="AC243" i="2"/>
  <c r="AC251" i="2"/>
  <c r="AC259" i="2"/>
  <c r="AC267" i="2"/>
  <c r="AC275" i="2"/>
  <c r="AC283" i="2"/>
  <c r="AC291" i="2"/>
  <c r="AC299" i="2"/>
  <c r="AC278" i="2"/>
  <c r="AC196" i="2"/>
  <c r="AC204" i="2"/>
  <c r="AC212" i="2"/>
  <c r="AC220" i="2"/>
  <c r="AC228" i="2"/>
  <c r="AC236" i="2"/>
  <c r="AC244" i="2"/>
  <c r="AC252" i="2"/>
  <c r="AC260" i="2"/>
  <c r="AC268" i="2"/>
  <c r="AC276" i="2"/>
  <c r="AC284" i="2"/>
  <c r="AC326" i="2"/>
  <c r="AC325" i="2"/>
  <c r="AC324" i="2"/>
  <c r="AC323" i="2"/>
  <c r="AC322" i="2"/>
  <c r="AC321" i="2"/>
  <c r="AC301" i="2"/>
  <c r="AC190" i="2" l="1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C29" i="1" l="1"/>
  <c r="O10" i="2"/>
  <c r="O77" i="2" l="1"/>
  <c r="O148" i="2"/>
  <c r="O147" i="2"/>
  <c r="O299" i="2" l="1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3" i="2"/>
  <c r="O184" i="2"/>
  <c r="O181" i="2"/>
  <c r="O180" i="2"/>
  <c r="O179" i="2"/>
  <c r="O176" i="2"/>
  <c r="O175" i="2"/>
  <c r="O174" i="2"/>
  <c r="O173" i="2"/>
  <c r="O172" i="2"/>
  <c r="O171" i="2"/>
  <c r="O170" i="2"/>
  <c r="O169" i="2"/>
  <c r="O168" i="2"/>
  <c r="O167" i="2"/>
  <c r="O166" i="2"/>
  <c r="O182" i="2"/>
  <c r="O178" i="2"/>
  <c r="O177" i="2"/>
  <c r="O165" i="2"/>
  <c r="O164" i="2"/>
  <c r="O163" i="2"/>
  <c r="O154" i="2"/>
  <c r="O162" i="2"/>
  <c r="O161" i="2"/>
  <c r="O160" i="2"/>
  <c r="O159" i="2"/>
  <c r="O158" i="2"/>
  <c r="O153" i="2"/>
  <c r="O152" i="2"/>
  <c r="O156" i="2"/>
  <c r="O151" i="2"/>
  <c r="O150" i="2"/>
  <c r="O149" i="2"/>
  <c r="O146" i="2"/>
  <c r="O145" i="2"/>
  <c r="O144" i="2"/>
  <c r="O143" i="2"/>
  <c r="O142" i="2"/>
  <c r="O141" i="2"/>
  <c r="O140" i="2"/>
  <c r="O157" i="2"/>
  <c r="O139" i="2"/>
  <c r="O137" i="2"/>
  <c r="O155" i="2"/>
  <c r="O138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1" i="2"/>
  <c r="O122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46" i="2" s="1"/>
  <c r="O87" i="2"/>
  <c r="O86" i="2"/>
  <c r="O85" i="2"/>
  <c r="O84" i="2"/>
  <c r="O82" i="2"/>
  <c r="O78" i="2"/>
  <c r="O76" i="2"/>
  <c r="O75" i="2"/>
  <c r="O74" i="2"/>
  <c r="O72" i="2"/>
  <c r="O83" i="2"/>
  <c r="O81" i="2"/>
  <c r="O80" i="2"/>
  <c r="O79" i="2"/>
  <c r="O73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3" i="2"/>
  <c r="O54" i="2"/>
  <c r="O52" i="2"/>
  <c r="O51" i="2"/>
  <c r="O50" i="2"/>
  <c r="O49" i="2"/>
  <c r="O48" i="2"/>
  <c r="O44" i="2"/>
  <c r="O43" i="2"/>
  <c r="O42" i="2"/>
  <c r="O41" i="2"/>
  <c r="O40" i="2"/>
  <c r="O39" i="2"/>
  <c r="O45" i="2" s="1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1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O47" i="2" l="1"/>
  <c r="H6" i="1" l="1"/>
  <c r="Q6" i="2" l="1"/>
  <c r="AF6" i="2" l="1"/>
  <c r="F32" i="1"/>
  <c r="AF189" i="2"/>
  <c r="AF188" i="2"/>
  <c r="AF184" i="2"/>
  <c r="AF182" i="2"/>
  <c r="AF181" i="2"/>
  <c r="AF180" i="2"/>
  <c r="AF179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54" i="2"/>
  <c r="AF123" i="2"/>
  <c r="AF122" i="2"/>
  <c r="AF70" i="2"/>
  <c r="AF68" i="2"/>
  <c r="AF61" i="2"/>
  <c r="AF52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45" i="2" l="1"/>
  <c r="D9" i="1"/>
  <c r="D32" i="1" l="1"/>
  <c r="J97" i="1" l="1"/>
  <c r="K97" i="1" s="1"/>
  <c r="K100" i="1" l="1"/>
  <c r="J101" i="1"/>
  <c r="J102" i="1"/>
  <c r="K102" i="1" s="1"/>
  <c r="J98" i="1"/>
  <c r="K98" i="1" s="1"/>
  <c r="J99" i="1"/>
  <c r="H2" i="2" l="1"/>
  <c r="M301" i="2" l="1"/>
  <c r="M300" i="2"/>
  <c r="M323" i="2"/>
  <c r="M325" i="2"/>
  <c r="M324" i="2"/>
  <c r="M326" i="2"/>
  <c r="M322" i="2"/>
  <c r="M321" i="2"/>
  <c r="U3" i="2"/>
  <c r="G2" i="1" l="1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Q320" i="2"/>
  <c r="L320" i="2"/>
  <c r="AB319" i="2"/>
  <c r="W319" i="2"/>
  <c r="Q319" i="2"/>
  <c r="L319" i="2"/>
  <c r="AB318" i="2"/>
  <c r="W318" i="2"/>
  <c r="Q318" i="2"/>
  <c r="L318" i="2"/>
  <c r="AB317" i="2"/>
  <c r="W317" i="2"/>
  <c r="Q317" i="2"/>
  <c r="L317" i="2"/>
  <c r="AB316" i="2"/>
  <c r="W316" i="2"/>
  <c r="Q316" i="2"/>
  <c r="L316" i="2"/>
  <c r="AB315" i="2"/>
  <c r="W315" i="2"/>
  <c r="Q315" i="2"/>
  <c r="L315" i="2"/>
  <c r="AB314" i="2"/>
  <c r="W314" i="2"/>
  <c r="Q314" i="2"/>
  <c r="L314" i="2"/>
  <c r="AB313" i="2"/>
  <c r="W313" i="2"/>
  <c r="Q313" i="2"/>
  <c r="L313" i="2"/>
  <c r="AB312" i="2"/>
  <c r="W312" i="2"/>
  <c r="Q312" i="2"/>
  <c r="L312" i="2"/>
  <c r="AB311" i="2"/>
  <c r="W311" i="2"/>
  <c r="Q311" i="2"/>
  <c r="L311" i="2"/>
  <c r="AB310" i="2"/>
  <c r="W310" i="2"/>
  <c r="Q310" i="2"/>
  <c r="L310" i="2"/>
  <c r="AB309" i="2"/>
  <c r="W309" i="2"/>
  <c r="Q309" i="2"/>
  <c r="L309" i="2"/>
  <c r="AB308" i="2"/>
  <c r="W308" i="2"/>
  <c r="Q308" i="2"/>
  <c r="L308" i="2"/>
  <c r="AB307" i="2"/>
  <c r="W307" i="2"/>
  <c r="Q307" i="2"/>
  <c r="L307" i="2"/>
  <c r="AB306" i="2"/>
  <c r="W306" i="2"/>
  <c r="Q306" i="2"/>
  <c r="L306" i="2"/>
  <c r="AB305" i="2"/>
  <c r="W305" i="2"/>
  <c r="Q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M301" i="2"/>
  <c r="AL301" i="2"/>
  <c r="AB301" i="2"/>
  <c r="W301" i="2"/>
  <c r="L301" i="2"/>
  <c r="F301" i="2"/>
  <c r="AM300" i="2"/>
  <c r="AL300" i="2"/>
  <c r="AB300" i="2"/>
  <c r="W300" i="2"/>
  <c r="Q300" i="2"/>
  <c r="L300" i="2"/>
  <c r="F300" i="2"/>
  <c r="BA299" i="2"/>
  <c r="AM299" i="2"/>
  <c r="AL299" i="2"/>
  <c r="AB299" i="2"/>
  <c r="W299" i="2"/>
  <c r="R299" i="2"/>
  <c r="L299" i="2"/>
  <c r="F299" i="2"/>
  <c r="BA298" i="2"/>
  <c r="AM298" i="2"/>
  <c r="AL298" i="2"/>
  <c r="AB298" i="2"/>
  <c r="W298" i="2"/>
  <c r="R298" i="2"/>
  <c r="L298" i="2"/>
  <c r="F298" i="2"/>
  <c r="D298" i="2"/>
  <c r="BA297" i="2"/>
  <c r="AM297" i="2"/>
  <c r="AL297" i="2"/>
  <c r="AB297" i="2"/>
  <c r="W297" i="2"/>
  <c r="R297" i="2"/>
  <c r="L297" i="2"/>
  <c r="F297" i="2"/>
  <c r="D297" i="2"/>
  <c r="BA296" i="2"/>
  <c r="AM296" i="2"/>
  <c r="AL296" i="2"/>
  <c r="AB296" i="2"/>
  <c r="W296" i="2"/>
  <c r="R296" i="2"/>
  <c r="L296" i="2"/>
  <c r="F296" i="2"/>
  <c r="D296" i="2"/>
  <c r="BA295" i="2"/>
  <c r="AM295" i="2"/>
  <c r="AL295" i="2"/>
  <c r="AB295" i="2"/>
  <c r="W295" i="2"/>
  <c r="R295" i="2"/>
  <c r="L295" i="2"/>
  <c r="F295" i="2"/>
  <c r="D295" i="2"/>
  <c r="BA294" i="2"/>
  <c r="AM294" i="2"/>
  <c r="AL294" i="2"/>
  <c r="AB294" i="2"/>
  <c r="W294" i="2"/>
  <c r="R294" i="2"/>
  <c r="L294" i="2"/>
  <c r="F294" i="2"/>
  <c r="D294" i="2"/>
  <c r="BA293" i="2"/>
  <c r="AM293" i="2"/>
  <c r="AL293" i="2"/>
  <c r="AB293" i="2"/>
  <c r="W293" i="2"/>
  <c r="R293" i="2"/>
  <c r="L293" i="2"/>
  <c r="F293" i="2"/>
  <c r="D293" i="2"/>
  <c r="BA292" i="2"/>
  <c r="AM292" i="2"/>
  <c r="AL292" i="2"/>
  <c r="AB292" i="2"/>
  <c r="W292" i="2"/>
  <c r="R292" i="2"/>
  <c r="L292" i="2"/>
  <c r="F292" i="2"/>
  <c r="D292" i="2"/>
  <c r="BA291" i="2"/>
  <c r="AM291" i="2"/>
  <c r="AL291" i="2"/>
  <c r="AB291" i="2"/>
  <c r="W291" i="2"/>
  <c r="R291" i="2"/>
  <c r="L291" i="2"/>
  <c r="F291" i="2"/>
  <c r="D291" i="2"/>
  <c r="BA290" i="2"/>
  <c r="AM290" i="2"/>
  <c r="AL290" i="2"/>
  <c r="AB290" i="2"/>
  <c r="W290" i="2"/>
  <c r="R290" i="2"/>
  <c r="L290" i="2"/>
  <c r="F290" i="2"/>
  <c r="D290" i="2"/>
  <c r="BA289" i="2"/>
  <c r="AM289" i="2"/>
  <c r="AL289" i="2"/>
  <c r="AB289" i="2"/>
  <c r="W289" i="2"/>
  <c r="R289" i="2"/>
  <c r="L289" i="2"/>
  <c r="F289" i="2"/>
  <c r="D289" i="2"/>
  <c r="BA288" i="2"/>
  <c r="AM288" i="2"/>
  <c r="AL288" i="2"/>
  <c r="AB288" i="2"/>
  <c r="W288" i="2"/>
  <c r="R288" i="2"/>
  <c r="L288" i="2"/>
  <c r="F288" i="2"/>
  <c r="D288" i="2"/>
  <c r="BA287" i="2"/>
  <c r="AM287" i="2"/>
  <c r="AL287" i="2"/>
  <c r="AB287" i="2"/>
  <c r="W287" i="2"/>
  <c r="R287" i="2"/>
  <c r="L287" i="2"/>
  <c r="F287" i="2"/>
  <c r="D287" i="2"/>
  <c r="BA286" i="2"/>
  <c r="AM286" i="2"/>
  <c r="AL286" i="2"/>
  <c r="AB286" i="2"/>
  <c r="W286" i="2"/>
  <c r="R286" i="2"/>
  <c r="L286" i="2"/>
  <c r="F286" i="2"/>
  <c r="D286" i="2"/>
  <c r="BA285" i="2"/>
  <c r="AM285" i="2"/>
  <c r="AL285" i="2"/>
  <c r="AB285" i="2"/>
  <c r="W285" i="2"/>
  <c r="R285" i="2"/>
  <c r="L285" i="2"/>
  <c r="F285" i="2"/>
  <c r="D285" i="2"/>
  <c r="BA284" i="2"/>
  <c r="AM284" i="2"/>
  <c r="AL284" i="2"/>
  <c r="AB284" i="2"/>
  <c r="W284" i="2"/>
  <c r="R284" i="2"/>
  <c r="L284" i="2"/>
  <c r="F284" i="2"/>
  <c r="D284" i="2"/>
  <c r="BA283" i="2"/>
  <c r="AM283" i="2"/>
  <c r="AL283" i="2"/>
  <c r="AB283" i="2"/>
  <c r="W283" i="2"/>
  <c r="R283" i="2"/>
  <c r="L283" i="2"/>
  <c r="F283" i="2"/>
  <c r="D283" i="2"/>
  <c r="BA282" i="2"/>
  <c r="AM282" i="2"/>
  <c r="AL282" i="2"/>
  <c r="AB282" i="2"/>
  <c r="W282" i="2"/>
  <c r="R282" i="2"/>
  <c r="L282" i="2"/>
  <c r="F282" i="2"/>
  <c r="D282" i="2"/>
  <c r="BA281" i="2"/>
  <c r="AM281" i="2"/>
  <c r="AL281" i="2"/>
  <c r="AB281" i="2"/>
  <c r="W281" i="2"/>
  <c r="R281" i="2"/>
  <c r="L281" i="2"/>
  <c r="F281" i="2"/>
  <c r="D281" i="2"/>
  <c r="BA280" i="2"/>
  <c r="AM280" i="2"/>
  <c r="AL280" i="2"/>
  <c r="AB280" i="2"/>
  <c r="W280" i="2"/>
  <c r="R280" i="2"/>
  <c r="L280" i="2"/>
  <c r="F280" i="2"/>
  <c r="D280" i="2"/>
  <c r="BA279" i="2"/>
  <c r="AM279" i="2"/>
  <c r="AL279" i="2"/>
  <c r="AB279" i="2"/>
  <c r="W279" i="2"/>
  <c r="R279" i="2"/>
  <c r="L279" i="2"/>
  <c r="F279" i="2"/>
  <c r="D279" i="2"/>
  <c r="BA278" i="2"/>
  <c r="AM278" i="2"/>
  <c r="AL278" i="2"/>
  <c r="AB278" i="2"/>
  <c r="W278" i="2"/>
  <c r="R278" i="2"/>
  <c r="L278" i="2"/>
  <c r="F278" i="2"/>
  <c r="D278" i="2"/>
  <c r="BA277" i="2"/>
  <c r="AM277" i="2"/>
  <c r="AL277" i="2"/>
  <c r="AB277" i="2"/>
  <c r="W277" i="2"/>
  <c r="R277" i="2"/>
  <c r="L277" i="2"/>
  <c r="F277" i="2"/>
  <c r="D277" i="2"/>
  <c r="BA276" i="2"/>
  <c r="AM276" i="2"/>
  <c r="AL276" i="2"/>
  <c r="AB276" i="2"/>
  <c r="W276" i="2"/>
  <c r="R276" i="2"/>
  <c r="L276" i="2"/>
  <c r="F276" i="2"/>
  <c r="D276" i="2"/>
  <c r="BA275" i="2"/>
  <c r="AM275" i="2"/>
  <c r="AL275" i="2"/>
  <c r="AB275" i="2"/>
  <c r="W275" i="2"/>
  <c r="R275" i="2"/>
  <c r="L275" i="2"/>
  <c r="F275" i="2"/>
  <c r="D275" i="2"/>
  <c r="BA274" i="2"/>
  <c r="AM274" i="2"/>
  <c r="AL274" i="2"/>
  <c r="AB274" i="2"/>
  <c r="W274" i="2"/>
  <c r="R274" i="2"/>
  <c r="L274" i="2"/>
  <c r="F274" i="2"/>
  <c r="D274" i="2"/>
  <c r="BA273" i="2"/>
  <c r="AM273" i="2"/>
  <c r="AL273" i="2"/>
  <c r="AB273" i="2"/>
  <c r="W273" i="2"/>
  <c r="R273" i="2"/>
  <c r="L273" i="2"/>
  <c r="F273" i="2"/>
  <c r="D273" i="2"/>
  <c r="BA272" i="2"/>
  <c r="AM272" i="2"/>
  <c r="AL272" i="2"/>
  <c r="AB272" i="2"/>
  <c r="W272" i="2"/>
  <c r="R272" i="2"/>
  <c r="L272" i="2"/>
  <c r="F272" i="2"/>
  <c r="D272" i="2"/>
  <c r="BA271" i="2"/>
  <c r="AM271" i="2"/>
  <c r="AL271" i="2"/>
  <c r="AB271" i="2"/>
  <c r="W271" i="2"/>
  <c r="R271" i="2"/>
  <c r="L271" i="2"/>
  <c r="F271" i="2"/>
  <c r="D271" i="2"/>
  <c r="BA270" i="2"/>
  <c r="AM270" i="2"/>
  <c r="AL270" i="2"/>
  <c r="AB270" i="2"/>
  <c r="W270" i="2"/>
  <c r="R270" i="2"/>
  <c r="L270" i="2"/>
  <c r="F270" i="2"/>
  <c r="D270" i="2"/>
  <c r="BA269" i="2"/>
  <c r="AM269" i="2"/>
  <c r="AL269" i="2"/>
  <c r="AB269" i="2"/>
  <c r="W269" i="2"/>
  <c r="R269" i="2"/>
  <c r="L269" i="2"/>
  <c r="F269" i="2"/>
  <c r="D269" i="2"/>
  <c r="BA268" i="2"/>
  <c r="AM268" i="2"/>
  <c r="AL268" i="2"/>
  <c r="AB268" i="2"/>
  <c r="W268" i="2"/>
  <c r="R268" i="2"/>
  <c r="L268" i="2"/>
  <c r="F268" i="2"/>
  <c r="D268" i="2"/>
  <c r="BA267" i="2"/>
  <c r="AM267" i="2"/>
  <c r="AL267" i="2"/>
  <c r="AB267" i="2"/>
  <c r="W267" i="2"/>
  <c r="R267" i="2"/>
  <c r="L267" i="2"/>
  <c r="F267" i="2"/>
  <c r="D267" i="2"/>
  <c r="BA266" i="2"/>
  <c r="AM266" i="2"/>
  <c r="AL266" i="2"/>
  <c r="AB266" i="2"/>
  <c r="W266" i="2"/>
  <c r="R266" i="2"/>
  <c r="L266" i="2"/>
  <c r="F266" i="2"/>
  <c r="D266" i="2"/>
  <c r="BA265" i="2"/>
  <c r="AM265" i="2"/>
  <c r="AL265" i="2"/>
  <c r="AB265" i="2"/>
  <c r="W265" i="2"/>
  <c r="R265" i="2"/>
  <c r="L265" i="2"/>
  <c r="F265" i="2"/>
  <c r="D265" i="2"/>
  <c r="BA264" i="2"/>
  <c r="AM264" i="2"/>
  <c r="AL264" i="2"/>
  <c r="AB264" i="2"/>
  <c r="W264" i="2"/>
  <c r="R264" i="2"/>
  <c r="L264" i="2"/>
  <c r="F264" i="2"/>
  <c r="D264" i="2"/>
  <c r="BA263" i="2"/>
  <c r="AM263" i="2"/>
  <c r="AL263" i="2"/>
  <c r="AB263" i="2"/>
  <c r="W263" i="2"/>
  <c r="R263" i="2"/>
  <c r="L263" i="2"/>
  <c r="F263" i="2"/>
  <c r="D263" i="2"/>
  <c r="BA262" i="2"/>
  <c r="AM262" i="2"/>
  <c r="AL262" i="2"/>
  <c r="AB262" i="2"/>
  <c r="W262" i="2"/>
  <c r="R262" i="2"/>
  <c r="L262" i="2"/>
  <c r="F262" i="2"/>
  <c r="D262" i="2"/>
  <c r="BA261" i="2"/>
  <c r="AM261" i="2"/>
  <c r="AL261" i="2"/>
  <c r="AB261" i="2"/>
  <c r="W261" i="2"/>
  <c r="R261" i="2"/>
  <c r="L261" i="2"/>
  <c r="F261" i="2"/>
  <c r="D261" i="2"/>
  <c r="BA260" i="2"/>
  <c r="AM260" i="2"/>
  <c r="AL260" i="2"/>
  <c r="AB260" i="2"/>
  <c r="W260" i="2"/>
  <c r="R260" i="2"/>
  <c r="L260" i="2"/>
  <c r="F260" i="2"/>
  <c r="D260" i="2"/>
  <c r="BA259" i="2"/>
  <c r="AM259" i="2"/>
  <c r="AL259" i="2"/>
  <c r="AB259" i="2"/>
  <c r="W259" i="2"/>
  <c r="R259" i="2"/>
  <c r="L259" i="2"/>
  <c r="F259" i="2"/>
  <c r="D259" i="2"/>
  <c r="BA258" i="2"/>
  <c r="AM258" i="2"/>
  <c r="AL258" i="2"/>
  <c r="AB258" i="2"/>
  <c r="W258" i="2"/>
  <c r="R258" i="2"/>
  <c r="L258" i="2"/>
  <c r="F258" i="2"/>
  <c r="D258" i="2"/>
  <c r="BA257" i="2"/>
  <c r="AM257" i="2"/>
  <c r="AL257" i="2"/>
  <c r="AB257" i="2"/>
  <c r="W257" i="2"/>
  <c r="R257" i="2"/>
  <c r="L257" i="2"/>
  <c r="F257" i="2"/>
  <c r="D257" i="2"/>
  <c r="BA256" i="2"/>
  <c r="AM256" i="2"/>
  <c r="AL256" i="2"/>
  <c r="AB256" i="2"/>
  <c r="W256" i="2"/>
  <c r="R256" i="2"/>
  <c r="L256" i="2"/>
  <c r="F256" i="2"/>
  <c r="D256" i="2"/>
  <c r="BA255" i="2"/>
  <c r="AM255" i="2"/>
  <c r="AL255" i="2"/>
  <c r="AB255" i="2"/>
  <c r="W255" i="2"/>
  <c r="R255" i="2"/>
  <c r="L255" i="2"/>
  <c r="F255" i="2"/>
  <c r="D255" i="2"/>
  <c r="BA254" i="2"/>
  <c r="AM254" i="2"/>
  <c r="AL254" i="2"/>
  <c r="AB254" i="2"/>
  <c r="W254" i="2"/>
  <c r="R254" i="2"/>
  <c r="L254" i="2"/>
  <c r="F254" i="2"/>
  <c r="D254" i="2"/>
  <c r="BA253" i="2"/>
  <c r="AM253" i="2"/>
  <c r="AL253" i="2"/>
  <c r="AB253" i="2"/>
  <c r="W253" i="2"/>
  <c r="R253" i="2"/>
  <c r="L253" i="2"/>
  <c r="F253" i="2"/>
  <c r="D253" i="2"/>
  <c r="BA252" i="2"/>
  <c r="AM252" i="2"/>
  <c r="AL252" i="2"/>
  <c r="AB252" i="2"/>
  <c r="W252" i="2"/>
  <c r="R252" i="2"/>
  <c r="L252" i="2"/>
  <c r="F252" i="2"/>
  <c r="D252" i="2"/>
  <c r="BA251" i="2"/>
  <c r="AM251" i="2"/>
  <c r="AL251" i="2"/>
  <c r="AB251" i="2"/>
  <c r="W251" i="2"/>
  <c r="R251" i="2"/>
  <c r="L251" i="2"/>
  <c r="F251" i="2"/>
  <c r="D251" i="2"/>
  <c r="BA250" i="2"/>
  <c r="AM250" i="2"/>
  <c r="AL250" i="2"/>
  <c r="AB250" i="2"/>
  <c r="W250" i="2"/>
  <c r="R250" i="2"/>
  <c r="L250" i="2"/>
  <c r="F250" i="2"/>
  <c r="D250" i="2"/>
  <c r="BA249" i="2"/>
  <c r="AM249" i="2"/>
  <c r="AL249" i="2"/>
  <c r="AB249" i="2"/>
  <c r="W249" i="2"/>
  <c r="R249" i="2"/>
  <c r="L249" i="2"/>
  <c r="F249" i="2"/>
  <c r="D249" i="2"/>
  <c r="BA248" i="2"/>
  <c r="AM248" i="2"/>
  <c r="AL248" i="2"/>
  <c r="AB248" i="2"/>
  <c r="W248" i="2"/>
  <c r="R248" i="2"/>
  <c r="L248" i="2"/>
  <c r="F248" i="2"/>
  <c r="D248" i="2"/>
  <c r="BA247" i="2"/>
  <c r="AM247" i="2"/>
  <c r="AL247" i="2"/>
  <c r="AB247" i="2"/>
  <c r="W247" i="2"/>
  <c r="R247" i="2"/>
  <c r="L247" i="2"/>
  <c r="F247" i="2"/>
  <c r="D247" i="2"/>
  <c r="BA246" i="2"/>
  <c r="AM246" i="2"/>
  <c r="AL246" i="2"/>
  <c r="AB246" i="2"/>
  <c r="W246" i="2"/>
  <c r="R246" i="2"/>
  <c r="L246" i="2"/>
  <c r="F246" i="2"/>
  <c r="D246" i="2"/>
  <c r="BA245" i="2"/>
  <c r="AM245" i="2"/>
  <c r="AL245" i="2"/>
  <c r="AB245" i="2"/>
  <c r="W245" i="2"/>
  <c r="R245" i="2"/>
  <c r="L245" i="2"/>
  <c r="F245" i="2"/>
  <c r="D245" i="2"/>
  <c r="BA244" i="2"/>
  <c r="AM244" i="2"/>
  <c r="AL244" i="2"/>
  <c r="AB244" i="2"/>
  <c r="W244" i="2"/>
  <c r="R244" i="2"/>
  <c r="L244" i="2"/>
  <c r="F244" i="2"/>
  <c r="D244" i="2"/>
  <c r="BA243" i="2"/>
  <c r="AM243" i="2"/>
  <c r="AL243" i="2"/>
  <c r="AB243" i="2"/>
  <c r="W243" i="2"/>
  <c r="R243" i="2"/>
  <c r="L243" i="2"/>
  <c r="F243" i="2"/>
  <c r="D243" i="2"/>
  <c r="BA242" i="2"/>
  <c r="AM242" i="2"/>
  <c r="AL242" i="2"/>
  <c r="AB242" i="2"/>
  <c r="W242" i="2"/>
  <c r="R242" i="2"/>
  <c r="L242" i="2"/>
  <c r="F242" i="2"/>
  <c r="D242" i="2"/>
  <c r="BA241" i="2"/>
  <c r="AM241" i="2"/>
  <c r="AL241" i="2"/>
  <c r="AB241" i="2"/>
  <c r="W241" i="2"/>
  <c r="R241" i="2"/>
  <c r="L241" i="2"/>
  <c r="F241" i="2"/>
  <c r="D241" i="2"/>
  <c r="BA240" i="2"/>
  <c r="AM240" i="2"/>
  <c r="AL240" i="2"/>
  <c r="AB240" i="2"/>
  <c r="W240" i="2"/>
  <c r="R240" i="2"/>
  <c r="L240" i="2"/>
  <c r="F240" i="2"/>
  <c r="D240" i="2"/>
  <c r="BA239" i="2"/>
  <c r="AM239" i="2"/>
  <c r="AL239" i="2"/>
  <c r="AB239" i="2"/>
  <c r="W239" i="2"/>
  <c r="R239" i="2"/>
  <c r="L239" i="2"/>
  <c r="F239" i="2"/>
  <c r="D239" i="2"/>
  <c r="BA238" i="2"/>
  <c r="AM238" i="2"/>
  <c r="AL238" i="2"/>
  <c r="AB238" i="2"/>
  <c r="W238" i="2"/>
  <c r="R238" i="2"/>
  <c r="L238" i="2"/>
  <c r="F238" i="2"/>
  <c r="D238" i="2"/>
  <c r="BA237" i="2"/>
  <c r="AM237" i="2"/>
  <c r="AL237" i="2"/>
  <c r="AB237" i="2"/>
  <c r="W237" i="2"/>
  <c r="R237" i="2"/>
  <c r="L237" i="2"/>
  <c r="F237" i="2"/>
  <c r="D237" i="2"/>
  <c r="BA236" i="2"/>
  <c r="AM236" i="2"/>
  <c r="AL236" i="2"/>
  <c r="AB236" i="2"/>
  <c r="W236" i="2"/>
  <c r="R236" i="2"/>
  <c r="L236" i="2"/>
  <c r="F236" i="2"/>
  <c r="D236" i="2"/>
  <c r="BA235" i="2"/>
  <c r="AM235" i="2"/>
  <c r="AL235" i="2"/>
  <c r="AB235" i="2"/>
  <c r="W235" i="2"/>
  <c r="R235" i="2"/>
  <c r="L235" i="2"/>
  <c r="F235" i="2"/>
  <c r="D235" i="2"/>
  <c r="BA234" i="2"/>
  <c r="AM234" i="2"/>
  <c r="AL234" i="2"/>
  <c r="AB234" i="2"/>
  <c r="W234" i="2"/>
  <c r="R234" i="2"/>
  <c r="L234" i="2"/>
  <c r="F234" i="2"/>
  <c r="D234" i="2"/>
  <c r="BA233" i="2"/>
  <c r="AM233" i="2"/>
  <c r="AL233" i="2"/>
  <c r="AB233" i="2"/>
  <c r="W233" i="2"/>
  <c r="R233" i="2"/>
  <c r="L233" i="2"/>
  <c r="F233" i="2"/>
  <c r="D233" i="2"/>
  <c r="BA232" i="2"/>
  <c r="AM232" i="2"/>
  <c r="AL232" i="2"/>
  <c r="AB232" i="2"/>
  <c r="W232" i="2"/>
  <c r="R232" i="2"/>
  <c r="L232" i="2"/>
  <c r="F232" i="2"/>
  <c r="D232" i="2"/>
  <c r="BA231" i="2"/>
  <c r="AM231" i="2"/>
  <c r="AL231" i="2"/>
  <c r="AB231" i="2"/>
  <c r="W231" i="2"/>
  <c r="R231" i="2"/>
  <c r="L231" i="2"/>
  <c r="F231" i="2"/>
  <c r="D231" i="2"/>
  <c r="BA230" i="2"/>
  <c r="AM230" i="2"/>
  <c r="AL230" i="2"/>
  <c r="AB230" i="2"/>
  <c r="W230" i="2"/>
  <c r="R230" i="2"/>
  <c r="L230" i="2"/>
  <c r="F230" i="2"/>
  <c r="D230" i="2"/>
  <c r="BA229" i="2"/>
  <c r="AM229" i="2"/>
  <c r="AL229" i="2"/>
  <c r="AB229" i="2"/>
  <c r="W229" i="2"/>
  <c r="R229" i="2"/>
  <c r="L229" i="2"/>
  <c r="F229" i="2"/>
  <c r="D229" i="2"/>
  <c r="BA228" i="2"/>
  <c r="AM228" i="2"/>
  <c r="AL228" i="2"/>
  <c r="AB228" i="2"/>
  <c r="W228" i="2"/>
  <c r="R228" i="2"/>
  <c r="L228" i="2"/>
  <c r="F228" i="2"/>
  <c r="D228" i="2"/>
  <c r="BA227" i="2"/>
  <c r="AM227" i="2"/>
  <c r="AL227" i="2"/>
  <c r="AB227" i="2"/>
  <c r="W227" i="2"/>
  <c r="R227" i="2"/>
  <c r="L227" i="2"/>
  <c r="F227" i="2"/>
  <c r="D227" i="2"/>
  <c r="BA226" i="2"/>
  <c r="AM226" i="2"/>
  <c r="AL226" i="2"/>
  <c r="AB226" i="2"/>
  <c r="W226" i="2"/>
  <c r="R226" i="2"/>
  <c r="L226" i="2"/>
  <c r="F226" i="2"/>
  <c r="D226" i="2"/>
  <c r="BA225" i="2"/>
  <c r="AM225" i="2"/>
  <c r="AL225" i="2"/>
  <c r="AB225" i="2"/>
  <c r="W225" i="2"/>
  <c r="R225" i="2"/>
  <c r="L225" i="2"/>
  <c r="F225" i="2"/>
  <c r="D225" i="2"/>
  <c r="BA224" i="2"/>
  <c r="AM224" i="2"/>
  <c r="AL224" i="2"/>
  <c r="AB224" i="2"/>
  <c r="W224" i="2"/>
  <c r="R224" i="2"/>
  <c r="L224" i="2"/>
  <c r="F224" i="2"/>
  <c r="D224" i="2"/>
  <c r="BA223" i="2"/>
  <c r="AM223" i="2"/>
  <c r="AL223" i="2"/>
  <c r="AB223" i="2"/>
  <c r="W223" i="2"/>
  <c r="R223" i="2"/>
  <c r="L223" i="2"/>
  <c r="F223" i="2"/>
  <c r="D223" i="2"/>
  <c r="BA222" i="2"/>
  <c r="AM222" i="2"/>
  <c r="AL222" i="2"/>
  <c r="AB222" i="2"/>
  <c r="W222" i="2"/>
  <c r="R222" i="2"/>
  <c r="L222" i="2"/>
  <c r="F222" i="2"/>
  <c r="D222" i="2"/>
  <c r="BA221" i="2"/>
  <c r="AM221" i="2"/>
  <c r="AL221" i="2"/>
  <c r="AB221" i="2"/>
  <c r="W221" i="2"/>
  <c r="R221" i="2"/>
  <c r="L221" i="2"/>
  <c r="F221" i="2"/>
  <c r="D221" i="2"/>
  <c r="BA220" i="2"/>
  <c r="AM220" i="2"/>
  <c r="AL220" i="2"/>
  <c r="AB220" i="2"/>
  <c r="W220" i="2"/>
  <c r="R220" i="2"/>
  <c r="L220" i="2"/>
  <c r="F220" i="2"/>
  <c r="D220" i="2"/>
  <c r="BA219" i="2"/>
  <c r="AM219" i="2"/>
  <c r="AL219" i="2"/>
  <c r="AB219" i="2"/>
  <c r="W219" i="2"/>
  <c r="R219" i="2"/>
  <c r="L219" i="2"/>
  <c r="F219" i="2"/>
  <c r="D219" i="2"/>
  <c r="BA218" i="2"/>
  <c r="AM218" i="2"/>
  <c r="AL218" i="2"/>
  <c r="AB218" i="2"/>
  <c r="W218" i="2"/>
  <c r="R218" i="2"/>
  <c r="L218" i="2"/>
  <c r="F218" i="2"/>
  <c r="D218" i="2"/>
  <c r="BA217" i="2"/>
  <c r="AM217" i="2"/>
  <c r="AL217" i="2"/>
  <c r="AB217" i="2"/>
  <c r="W217" i="2"/>
  <c r="R217" i="2"/>
  <c r="L217" i="2"/>
  <c r="F217" i="2"/>
  <c r="D217" i="2"/>
  <c r="BA216" i="2"/>
  <c r="AM216" i="2"/>
  <c r="AL216" i="2"/>
  <c r="AB216" i="2"/>
  <c r="W216" i="2"/>
  <c r="R216" i="2"/>
  <c r="L216" i="2"/>
  <c r="F216" i="2"/>
  <c r="D216" i="2"/>
  <c r="BA215" i="2"/>
  <c r="AM215" i="2"/>
  <c r="AL215" i="2"/>
  <c r="AB215" i="2"/>
  <c r="W215" i="2"/>
  <c r="R215" i="2"/>
  <c r="L215" i="2"/>
  <c r="F215" i="2"/>
  <c r="D215" i="2"/>
  <c r="BA214" i="2"/>
  <c r="AM214" i="2"/>
  <c r="AL214" i="2"/>
  <c r="AB214" i="2"/>
  <c r="W214" i="2"/>
  <c r="R214" i="2"/>
  <c r="L214" i="2"/>
  <c r="F214" i="2"/>
  <c r="D214" i="2"/>
  <c r="BA213" i="2"/>
  <c r="AM213" i="2"/>
  <c r="AL213" i="2"/>
  <c r="AB213" i="2"/>
  <c r="W213" i="2"/>
  <c r="R213" i="2"/>
  <c r="L213" i="2"/>
  <c r="F213" i="2"/>
  <c r="D213" i="2"/>
  <c r="BA212" i="2"/>
  <c r="AM212" i="2"/>
  <c r="AL212" i="2"/>
  <c r="AB212" i="2"/>
  <c r="W212" i="2"/>
  <c r="R212" i="2"/>
  <c r="L212" i="2"/>
  <c r="F212" i="2"/>
  <c r="D212" i="2"/>
  <c r="BA211" i="2"/>
  <c r="AM211" i="2"/>
  <c r="AL211" i="2"/>
  <c r="AB211" i="2"/>
  <c r="W211" i="2"/>
  <c r="R211" i="2"/>
  <c r="L211" i="2"/>
  <c r="F211" i="2"/>
  <c r="D211" i="2"/>
  <c r="BA210" i="2"/>
  <c r="AM210" i="2"/>
  <c r="AL210" i="2"/>
  <c r="AB210" i="2"/>
  <c r="W210" i="2"/>
  <c r="R210" i="2"/>
  <c r="L210" i="2"/>
  <c r="F210" i="2"/>
  <c r="D210" i="2"/>
  <c r="BA209" i="2"/>
  <c r="AM209" i="2"/>
  <c r="AL209" i="2"/>
  <c r="AB209" i="2"/>
  <c r="W209" i="2"/>
  <c r="R209" i="2"/>
  <c r="L209" i="2"/>
  <c r="F209" i="2"/>
  <c r="D209" i="2"/>
  <c r="BA208" i="2"/>
  <c r="AM208" i="2"/>
  <c r="AL208" i="2"/>
  <c r="AB208" i="2"/>
  <c r="W208" i="2"/>
  <c r="R208" i="2"/>
  <c r="L208" i="2"/>
  <c r="F208" i="2"/>
  <c r="D208" i="2"/>
  <c r="BA207" i="2"/>
  <c r="AM207" i="2"/>
  <c r="AL207" i="2"/>
  <c r="AB207" i="2"/>
  <c r="W207" i="2"/>
  <c r="R207" i="2"/>
  <c r="L207" i="2"/>
  <c r="F207" i="2"/>
  <c r="D207" i="2"/>
  <c r="BA206" i="2"/>
  <c r="AM206" i="2"/>
  <c r="AL206" i="2"/>
  <c r="AB206" i="2"/>
  <c r="W206" i="2"/>
  <c r="R206" i="2"/>
  <c r="L206" i="2"/>
  <c r="F206" i="2"/>
  <c r="D206" i="2"/>
  <c r="BA205" i="2"/>
  <c r="AM205" i="2"/>
  <c r="AL205" i="2"/>
  <c r="AB205" i="2"/>
  <c r="W205" i="2"/>
  <c r="R205" i="2"/>
  <c r="L205" i="2"/>
  <c r="F205" i="2"/>
  <c r="D205" i="2"/>
  <c r="BA204" i="2"/>
  <c r="AM204" i="2"/>
  <c r="AL204" i="2"/>
  <c r="AB204" i="2"/>
  <c r="W204" i="2"/>
  <c r="R204" i="2"/>
  <c r="L204" i="2"/>
  <c r="F204" i="2"/>
  <c r="D204" i="2"/>
  <c r="BA203" i="2"/>
  <c r="AM203" i="2"/>
  <c r="AL203" i="2"/>
  <c r="AB203" i="2"/>
  <c r="W203" i="2"/>
  <c r="R203" i="2"/>
  <c r="L203" i="2"/>
  <c r="F203" i="2"/>
  <c r="D203" i="2"/>
  <c r="BA202" i="2"/>
  <c r="AM202" i="2"/>
  <c r="AL202" i="2"/>
  <c r="AB202" i="2"/>
  <c r="W202" i="2"/>
  <c r="R202" i="2"/>
  <c r="L202" i="2"/>
  <c r="F202" i="2"/>
  <c r="D202" i="2"/>
  <c r="BA201" i="2"/>
  <c r="AM201" i="2"/>
  <c r="AL201" i="2"/>
  <c r="AB201" i="2"/>
  <c r="W201" i="2"/>
  <c r="R201" i="2"/>
  <c r="L201" i="2"/>
  <c r="F201" i="2"/>
  <c r="D201" i="2"/>
  <c r="BA200" i="2"/>
  <c r="AM200" i="2"/>
  <c r="AL200" i="2"/>
  <c r="AB200" i="2"/>
  <c r="W200" i="2"/>
  <c r="R200" i="2"/>
  <c r="L200" i="2"/>
  <c r="F200" i="2"/>
  <c r="D200" i="2"/>
  <c r="BA199" i="2"/>
  <c r="AM199" i="2"/>
  <c r="AL199" i="2"/>
  <c r="AB199" i="2"/>
  <c r="W199" i="2"/>
  <c r="R199" i="2"/>
  <c r="L199" i="2"/>
  <c r="F199" i="2"/>
  <c r="D199" i="2"/>
  <c r="BA198" i="2"/>
  <c r="AM198" i="2"/>
  <c r="AL198" i="2"/>
  <c r="AB198" i="2"/>
  <c r="W198" i="2"/>
  <c r="R198" i="2"/>
  <c r="L198" i="2"/>
  <c r="F198" i="2"/>
  <c r="D198" i="2"/>
  <c r="BA197" i="2"/>
  <c r="AM197" i="2"/>
  <c r="AL197" i="2"/>
  <c r="AB197" i="2"/>
  <c r="W197" i="2"/>
  <c r="R197" i="2"/>
  <c r="L197" i="2"/>
  <c r="F197" i="2"/>
  <c r="D197" i="2"/>
  <c r="BA196" i="2"/>
  <c r="AM196" i="2"/>
  <c r="AL196" i="2"/>
  <c r="AB196" i="2"/>
  <c r="W196" i="2"/>
  <c r="R196" i="2"/>
  <c r="L196" i="2"/>
  <c r="F196" i="2"/>
  <c r="D196" i="2"/>
  <c r="BA195" i="2"/>
  <c r="AM195" i="2"/>
  <c r="AL195" i="2"/>
  <c r="AB195" i="2"/>
  <c r="W195" i="2"/>
  <c r="R195" i="2"/>
  <c r="L195" i="2"/>
  <c r="F195" i="2"/>
  <c r="D195" i="2"/>
  <c r="BA194" i="2"/>
  <c r="AM194" i="2"/>
  <c r="AL194" i="2"/>
  <c r="AB194" i="2"/>
  <c r="W194" i="2"/>
  <c r="R194" i="2"/>
  <c r="L194" i="2"/>
  <c r="F194" i="2"/>
  <c r="D194" i="2"/>
  <c r="BA193" i="2"/>
  <c r="AM193" i="2"/>
  <c r="AL193" i="2"/>
  <c r="AB193" i="2"/>
  <c r="W193" i="2"/>
  <c r="R193" i="2"/>
  <c r="L193" i="2"/>
  <c r="F193" i="2"/>
  <c r="D193" i="2"/>
  <c r="BA192" i="2"/>
  <c r="AM192" i="2"/>
  <c r="AL192" i="2"/>
  <c r="AB192" i="2"/>
  <c r="W192" i="2"/>
  <c r="R192" i="2"/>
  <c r="L192" i="2"/>
  <c r="F192" i="2"/>
  <c r="D192" i="2"/>
  <c r="BA191" i="2"/>
  <c r="AM191" i="2"/>
  <c r="AL191" i="2"/>
  <c r="AB191" i="2"/>
  <c r="W191" i="2"/>
  <c r="R191" i="2"/>
  <c r="L191" i="2"/>
  <c r="F191" i="2"/>
  <c r="D191" i="2"/>
  <c r="AM190" i="2"/>
  <c r="AL190" i="2"/>
  <c r="AF190" i="2"/>
  <c r="AB190" i="2"/>
  <c r="W190" i="2"/>
  <c r="R190" i="2"/>
  <c r="Q190" i="2"/>
  <c r="L190" i="2"/>
  <c r="F190" i="2"/>
  <c r="AM189" i="2"/>
  <c r="AL189" i="2"/>
  <c r="AB189" i="2"/>
  <c r="W189" i="2"/>
  <c r="R189" i="2"/>
  <c r="Q189" i="2"/>
  <c r="L189" i="2"/>
  <c r="F189" i="2"/>
  <c r="AM188" i="2"/>
  <c r="AL188" i="2"/>
  <c r="AB188" i="2"/>
  <c r="W188" i="2"/>
  <c r="R188" i="2"/>
  <c r="Q188" i="2"/>
  <c r="L188" i="2"/>
  <c r="F188" i="2"/>
  <c r="AM187" i="2"/>
  <c r="AL187" i="2"/>
  <c r="AF187" i="2"/>
  <c r="AB187" i="2"/>
  <c r="W187" i="2"/>
  <c r="R187" i="2"/>
  <c r="Q187" i="2"/>
  <c r="L187" i="2"/>
  <c r="F187" i="2"/>
  <c r="AM186" i="2"/>
  <c r="AL186" i="2"/>
  <c r="AF186" i="2"/>
  <c r="AB186" i="2"/>
  <c r="W186" i="2"/>
  <c r="R186" i="2"/>
  <c r="Q186" i="2"/>
  <c r="L186" i="2"/>
  <c r="F186" i="2"/>
  <c r="AM185" i="2"/>
  <c r="AL185" i="2"/>
  <c r="AF185" i="2"/>
  <c r="AB185" i="2"/>
  <c r="W185" i="2"/>
  <c r="R185" i="2"/>
  <c r="Q185" i="2"/>
  <c r="L185" i="2"/>
  <c r="F185" i="2"/>
  <c r="AM184" i="2"/>
  <c r="AL184" i="2"/>
  <c r="AB184" i="2"/>
  <c r="W184" i="2"/>
  <c r="R184" i="2"/>
  <c r="Q184" i="2"/>
  <c r="L184" i="2"/>
  <c r="F184" i="2"/>
  <c r="AM183" i="2"/>
  <c r="AL183" i="2"/>
  <c r="AF183" i="2"/>
  <c r="AB183" i="2"/>
  <c r="W183" i="2"/>
  <c r="R183" i="2"/>
  <c r="Q183" i="2"/>
  <c r="L183" i="2"/>
  <c r="F183" i="2"/>
  <c r="AM182" i="2"/>
  <c r="AL182" i="2"/>
  <c r="AB182" i="2"/>
  <c r="W182" i="2"/>
  <c r="R182" i="2"/>
  <c r="Q182" i="2"/>
  <c r="L182" i="2"/>
  <c r="F182" i="2"/>
  <c r="AM181" i="2"/>
  <c r="AL181" i="2"/>
  <c r="AB181" i="2"/>
  <c r="W181" i="2"/>
  <c r="R181" i="2"/>
  <c r="Q181" i="2"/>
  <c r="L181" i="2"/>
  <c r="F181" i="2"/>
  <c r="AM180" i="2"/>
  <c r="AL180" i="2"/>
  <c r="AB180" i="2"/>
  <c r="W180" i="2"/>
  <c r="R180" i="2"/>
  <c r="Q180" i="2"/>
  <c r="L180" i="2"/>
  <c r="F180" i="2"/>
  <c r="AM179" i="2"/>
  <c r="AL179" i="2"/>
  <c r="AB179" i="2"/>
  <c r="W179" i="2"/>
  <c r="R179" i="2"/>
  <c r="Q179" i="2"/>
  <c r="L179" i="2"/>
  <c r="F179" i="2"/>
  <c r="AM178" i="2"/>
  <c r="AL178" i="2"/>
  <c r="AF178" i="2"/>
  <c r="AB178" i="2"/>
  <c r="W178" i="2"/>
  <c r="R178" i="2"/>
  <c r="Q178" i="2"/>
  <c r="L178" i="2"/>
  <c r="F178" i="2"/>
  <c r="AM177" i="2"/>
  <c r="AL177" i="2"/>
  <c r="AB177" i="2"/>
  <c r="W177" i="2"/>
  <c r="R177" i="2"/>
  <c r="Q177" i="2"/>
  <c r="L177" i="2"/>
  <c r="F177" i="2"/>
  <c r="AM176" i="2"/>
  <c r="AL176" i="2"/>
  <c r="AB176" i="2"/>
  <c r="W176" i="2"/>
  <c r="R176" i="2"/>
  <c r="Q176" i="2"/>
  <c r="L176" i="2"/>
  <c r="F176" i="2"/>
  <c r="AM175" i="2"/>
  <c r="AL175" i="2"/>
  <c r="AB175" i="2"/>
  <c r="W175" i="2"/>
  <c r="R175" i="2"/>
  <c r="Q175" i="2"/>
  <c r="L175" i="2"/>
  <c r="F175" i="2"/>
  <c r="AM174" i="2"/>
  <c r="AL174" i="2"/>
  <c r="AB174" i="2"/>
  <c r="W174" i="2"/>
  <c r="R174" i="2"/>
  <c r="Q174" i="2"/>
  <c r="L174" i="2"/>
  <c r="F174" i="2"/>
  <c r="AM173" i="2"/>
  <c r="AL173" i="2"/>
  <c r="AB173" i="2"/>
  <c r="W173" i="2"/>
  <c r="R173" i="2"/>
  <c r="Q173" i="2"/>
  <c r="L173" i="2"/>
  <c r="F173" i="2"/>
  <c r="AM172" i="2"/>
  <c r="AL172" i="2"/>
  <c r="AB172" i="2"/>
  <c r="W172" i="2"/>
  <c r="R172" i="2"/>
  <c r="Q172" i="2"/>
  <c r="L172" i="2"/>
  <c r="F172" i="2"/>
  <c r="AM171" i="2"/>
  <c r="AL171" i="2"/>
  <c r="AB171" i="2"/>
  <c r="W171" i="2"/>
  <c r="R171" i="2"/>
  <c r="Q171" i="2"/>
  <c r="L171" i="2"/>
  <c r="F171" i="2"/>
  <c r="AM170" i="2"/>
  <c r="AL170" i="2"/>
  <c r="AB170" i="2"/>
  <c r="W170" i="2"/>
  <c r="R170" i="2"/>
  <c r="Q170" i="2"/>
  <c r="L170" i="2"/>
  <c r="F170" i="2"/>
  <c r="AM169" i="2"/>
  <c r="AL169" i="2"/>
  <c r="AB169" i="2"/>
  <c r="W169" i="2"/>
  <c r="R169" i="2"/>
  <c r="Q169" i="2"/>
  <c r="L169" i="2"/>
  <c r="F169" i="2"/>
  <c r="AM168" i="2"/>
  <c r="AL168" i="2"/>
  <c r="AB168" i="2"/>
  <c r="W168" i="2"/>
  <c r="R168" i="2"/>
  <c r="Q168" i="2"/>
  <c r="L168" i="2"/>
  <c r="F168" i="2"/>
  <c r="AM167" i="2"/>
  <c r="AL167" i="2"/>
  <c r="AB167" i="2"/>
  <c r="W167" i="2"/>
  <c r="R167" i="2"/>
  <c r="Q167" i="2"/>
  <c r="L167" i="2"/>
  <c r="F167" i="2"/>
  <c r="AM166" i="2"/>
  <c r="AL166" i="2"/>
  <c r="AB166" i="2"/>
  <c r="W166" i="2"/>
  <c r="R166" i="2"/>
  <c r="Q166" i="2"/>
  <c r="L166" i="2"/>
  <c r="F166" i="2"/>
  <c r="AM165" i="2"/>
  <c r="AL165" i="2"/>
  <c r="AB165" i="2"/>
  <c r="W165" i="2"/>
  <c r="R165" i="2"/>
  <c r="Q165" i="2"/>
  <c r="L165" i="2"/>
  <c r="F165" i="2"/>
  <c r="AM164" i="2"/>
  <c r="AL164" i="2"/>
  <c r="AB164" i="2"/>
  <c r="W164" i="2"/>
  <c r="R164" i="2"/>
  <c r="Q164" i="2"/>
  <c r="L164" i="2"/>
  <c r="F164" i="2"/>
  <c r="AM163" i="2"/>
  <c r="AL163" i="2"/>
  <c r="AB163" i="2"/>
  <c r="W163" i="2"/>
  <c r="R163" i="2"/>
  <c r="Q163" i="2"/>
  <c r="L163" i="2"/>
  <c r="F163" i="2"/>
  <c r="AM162" i="2"/>
  <c r="AL162" i="2"/>
  <c r="AF162" i="2"/>
  <c r="AB162" i="2"/>
  <c r="W162" i="2"/>
  <c r="R162" i="2"/>
  <c r="Q162" i="2"/>
  <c r="L162" i="2"/>
  <c r="F162" i="2"/>
  <c r="AM161" i="2"/>
  <c r="AL161" i="2"/>
  <c r="AF161" i="2"/>
  <c r="AB161" i="2"/>
  <c r="W161" i="2"/>
  <c r="R161" i="2"/>
  <c r="Q161" i="2"/>
  <c r="L161" i="2"/>
  <c r="F161" i="2"/>
  <c r="AM160" i="2"/>
  <c r="AL160" i="2"/>
  <c r="AF160" i="2"/>
  <c r="AB160" i="2"/>
  <c r="W160" i="2"/>
  <c r="R160" i="2"/>
  <c r="Q160" i="2"/>
  <c r="L160" i="2"/>
  <c r="F160" i="2"/>
  <c r="AM159" i="2"/>
  <c r="AL159" i="2"/>
  <c r="AF159" i="2"/>
  <c r="AB159" i="2"/>
  <c r="W159" i="2"/>
  <c r="R159" i="2"/>
  <c r="Q159" i="2"/>
  <c r="L159" i="2"/>
  <c r="F159" i="2"/>
  <c r="AM158" i="2"/>
  <c r="AL158" i="2"/>
  <c r="AF158" i="2"/>
  <c r="AB158" i="2"/>
  <c r="W158" i="2"/>
  <c r="R158" i="2"/>
  <c r="Q158" i="2"/>
  <c r="L158" i="2"/>
  <c r="F158" i="2"/>
  <c r="AM157" i="2"/>
  <c r="AL157" i="2"/>
  <c r="AF157" i="2"/>
  <c r="AB157" i="2"/>
  <c r="W157" i="2"/>
  <c r="R157" i="2"/>
  <c r="Q157" i="2"/>
  <c r="L157" i="2"/>
  <c r="F157" i="2"/>
  <c r="AM156" i="2"/>
  <c r="AL156" i="2"/>
  <c r="AF156" i="2"/>
  <c r="AB156" i="2"/>
  <c r="W156" i="2"/>
  <c r="R156" i="2"/>
  <c r="Q156" i="2"/>
  <c r="L156" i="2"/>
  <c r="F156" i="2"/>
  <c r="AM155" i="2"/>
  <c r="AL155" i="2"/>
  <c r="AF155" i="2"/>
  <c r="AB155" i="2"/>
  <c r="W155" i="2"/>
  <c r="R155" i="2"/>
  <c r="Q155" i="2"/>
  <c r="L155" i="2"/>
  <c r="F155" i="2"/>
  <c r="AM154" i="2"/>
  <c r="AL154" i="2"/>
  <c r="AB154" i="2"/>
  <c r="W154" i="2"/>
  <c r="R154" i="2"/>
  <c r="Q154" i="2"/>
  <c r="L154" i="2"/>
  <c r="F154" i="2"/>
  <c r="AM153" i="2"/>
  <c r="AL153" i="2"/>
  <c r="AF153" i="2"/>
  <c r="AB153" i="2"/>
  <c r="W153" i="2"/>
  <c r="R153" i="2"/>
  <c r="Q153" i="2"/>
  <c r="L153" i="2"/>
  <c r="F153" i="2"/>
  <c r="AM152" i="2"/>
  <c r="AL152" i="2"/>
  <c r="AF152" i="2"/>
  <c r="AB152" i="2"/>
  <c r="W152" i="2"/>
  <c r="R152" i="2"/>
  <c r="Q152" i="2"/>
  <c r="L152" i="2"/>
  <c r="F152" i="2"/>
  <c r="AM151" i="2"/>
  <c r="AL151" i="2"/>
  <c r="AF151" i="2"/>
  <c r="AB151" i="2"/>
  <c r="W151" i="2"/>
  <c r="R151" i="2"/>
  <c r="Q151" i="2"/>
  <c r="L151" i="2"/>
  <c r="F151" i="2"/>
  <c r="AM150" i="2"/>
  <c r="AL150" i="2"/>
  <c r="AF150" i="2"/>
  <c r="AB150" i="2"/>
  <c r="W150" i="2"/>
  <c r="R150" i="2"/>
  <c r="Q150" i="2"/>
  <c r="L150" i="2"/>
  <c r="F150" i="2"/>
  <c r="AM149" i="2"/>
  <c r="AL149" i="2"/>
  <c r="AF149" i="2"/>
  <c r="AB149" i="2"/>
  <c r="W149" i="2"/>
  <c r="R149" i="2"/>
  <c r="Q149" i="2"/>
  <c r="L149" i="2"/>
  <c r="F149" i="2"/>
  <c r="AM148" i="2"/>
  <c r="AL148" i="2"/>
  <c r="AF148" i="2"/>
  <c r="AB148" i="2"/>
  <c r="W148" i="2"/>
  <c r="R148" i="2"/>
  <c r="Q148" i="2"/>
  <c r="L148" i="2"/>
  <c r="F148" i="2"/>
  <c r="AM147" i="2"/>
  <c r="AL147" i="2"/>
  <c r="AF147" i="2"/>
  <c r="AB147" i="2"/>
  <c r="W147" i="2"/>
  <c r="R147" i="2"/>
  <c r="Q147" i="2"/>
  <c r="L147" i="2"/>
  <c r="F147" i="2"/>
  <c r="AM146" i="2"/>
  <c r="AL146" i="2"/>
  <c r="AF146" i="2"/>
  <c r="AB146" i="2"/>
  <c r="W146" i="2"/>
  <c r="R146" i="2"/>
  <c r="Q146" i="2"/>
  <c r="L146" i="2"/>
  <c r="F146" i="2"/>
  <c r="AM145" i="2"/>
  <c r="AL145" i="2"/>
  <c r="AF145" i="2"/>
  <c r="AB145" i="2"/>
  <c r="W145" i="2"/>
  <c r="R145" i="2"/>
  <c r="Q145" i="2"/>
  <c r="L145" i="2"/>
  <c r="F145" i="2"/>
  <c r="AM144" i="2"/>
  <c r="AL144" i="2"/>
  <c r="AF144" i="2"/>
  <c r="AB144" i="2"/>
  <c r="W144" i="2"/>
  <c r="R144" i="2"/>
  <c r="Q144" i="2"/>
  <c r="L144" i="2"/>
  <c r="F144" i="2"/>
  <c r="AM143" i="2"/>
  <c r="AL143" i="2"/>
  <c r="AF143" i="2"/>
  <c r="AB143" i="2"/>
  <c r="W143" i="2"/>
  <c r="R143" i="2"/>
  <c r="Q143" i="2"/>
  <c r="L143" i="2"/>
  <c r="F143" i="2"/>
  <c r="AM142" i="2"/>
  <c r="AL142" i="2"/>
  <c r="AF142" i="2"/>
  <c r="AB142" i="2"/>
  <c r="W142" i="2"/>
  <c r="R142" i="2"/>
  <c r="Q142" i="2"/>
  <c r="L142" i="2"/>
  <c r="F142" i="2"/>
  <c r="AM141" i="2"/>
  <c r="AL141" i="2"/>
  <c r="AF141" i="2"/>
  <c r="AB141" i="2"/>
  <c r="W141" i="2"/>
  <c r="R141" i="2"/>
  <c r="Q141" i="2"/>
  <c r="L141" i="2"/>
  <c r="F141" i="2"/>
  <c r="AM140" i="2"/>
  <c r="AL140" i="2"/>
  <c r="AF140" i="2"/>
  <c r="AB140" i="2"/>
  <c r="W140" i="2"/>
  <c r="R140" i="2"/>
  <c r="Q140" i="2"/>
  <c r="L140" i="2"/>
  <c r="F140" i="2"/>
  <c r="AM139" i="2"/>
  <c r="AL139" i="2"/>
  <c r="AF139" i="2"/>
  <c r="AB139" i="2"/>
  <c r="W139" i="2"/>
  <c r="R139" i="2"/>
  <c r="Q139" i="2"/>
  <c r="L139" i="2"/>
  <c r="F139" i="2"/>
  <c r="AM138" i="2"/>
  <c r="AL138" i="2"/>
  <c r="AF138" i="2"/>
  <c r="AB138" i="2"/>
  <c r="W138" i="2"/>
  <c r="R138" i="2"/>
  <c r="Q138" i="2"/>
  <c r="L138" i="2"/>
  <c r="F138" i="2"/>
  <c r="AM137" i="2"/>
  <c r="AL137" i="2"/>
  <c r="AF137" i="2"/>
  <c r="AB137" i="2"/>
  <c r="W137" i="2"/>
  <c r="R137" i="2"/>
  <c r="Q137" i="2"/>
  <c r="L137" i="2"/>
  <c r="F137" i="2"/>
  <c r="AM136" i="2"/>
  <c r="AL136" i="2"/>
  <c r="AF136" i="2"/>
  <c r="AB136" i="2"/>
  <c r="W136" i="2"/>
  <c r="R136" i="2"/>
  <c r="Q136" i="2"/>
  <c r="L136" i="2"/>
  <c r="F136" i="2"/>
  <c r="AM135" i="2"/>
  <c r="AL135" i="2"/>
  <c r="AF135" i="2"/>
  <c r="AB135" i="2"/>
  <c r="W135" i="2"/>
  <c r="R135" i="2"/>
  <c r="Q135" i="2"/>
  <c r="L135" i="2"/>
  <c r="F135" i="2"/>
  <c r="AM134" i="2"/>
  <c r="AL134" i="2"/>
  <c r="AF134" i="2"/>
  <c r="AB134" i="2"/>
  <c r="W134" i="2"/>
  <c r="R134" i="2"/>
  <c r="Q134" i="2"/>
  <c r="L134" i="2"/>
  <c r="F134" i="2"/>
  <c r="AM133" i="2"/>
  <c r="AL133" i="2"/>
  <c r="AF133" i="2"/>
  <c r="AB133" i="2"/>
  <c r="W133" i="2"/>
  <c r="R133" i="2"/>
  <c r="Q133" i="2"/>
  <c r="L133" i="2"/>
  <c r="F133" i="2"/>
  <c r="AM132" i="2"/>
  <c r="AL132" i="2"/>
  <c r="AF132" i="2"/>
  <c r="AB132" i="2"/>
  <c r="W132" i="2"/>
  <c r="R132" i="2"/>
  <c r="Q132" i="2"/>
  <c r="L132" i="2"/>
  <c r="F132" i="2"/>
  <c r="AM131" i="2"/>
  <c r="AL131" i="2"/>
  <c r="AF131" i="2"/>
  <c r="AB131" i="2"/>
  <c r="W131" i="2"/>
  <c r="R131" i="2"/>
  <c r="Q131" i="2"/>
  <c r="L131" i="2"/>
  <c r="F131" i="2"/>
  <c r="AM130" i="2"/>
  <c r="AL130" i="2"/>
  <c r="AF130" i="2"/>
  <c r="AB130" i="2"/>
  <c r="W130" i="2"/>
  <c r="R130" i="2"/>
  <c r="Q130" i="2"/>
  <c r="L130" i="2"/>
  <c r="F130" i="2"/>
  <c r="AM129" i="2"/>
  <c r="AL129" i="2"/>
  <c r="AF129" i="2"/>
  <c r="AB129" i="2"/>
  <c r="W129" i="2"/>
  <c r="R129" i="2"/>
  <c r="Q129" i="2"/>
  <c r="L129" i="2"/>
  <c r="F129" i="2"/>
  <c r="AM128" i="2"/>
  <c r="AL128" i="2"/>
  <c r="AF128" i="2"/>
  <c r="AB128" i="2"/>
  <c r="W128" i="2"/>
  <c r="R128" i="2"/>
  <c r="Q128" i="2"/>
  <c r="L128" i="2"/>
  <c r="F128" i="2"/>
  <c r="AM127" i="2"/>
  <c r="AL127" i="2"/>
  <c r="AF127" i="2"/>
  <c r="AB127" i="2"/>
  <c r="W127" i="2"/>
  <c r="R127" i="2"/>
  <c r="Q127" i="2"/>
  <c r="L127" i="2"/>
  <c r="F127" i="2"/>
  <c r="AM126" i="2"/>
  <c r="AL126" i="2"/>
  <c r="AF126" i="2"/>
  <c r="AB126" i="2"/>
  <c r="W126" i="2"/>
  <c r="R126" i="2"/>
  <c r="Q126" i="2"/>
  <c r="L126" i="2"/>
  <c r="F126" i="2"/>
  <c r="AM125" i="2"/>
  <c r="AL125" i="2"/>
  <c r="AF125" i="2"/>
  <c r="AB125" i="2"/>
  <c r="W125" i="2"/>
  <c r="R125" i="2"/>
  <c r="Q125" i="2"/>
  <c r="L125" i="2"/>
  <c r="F125" i="2"/>
  <c r="AM124" i="2"/>
  <c r="AL124" i="2"/>
  <c r="AF124" i="2"/>
  <c r="AB124" i="2"/>
  <c r="W124" i="2"/>
  <c r="R124" i="2"/>
  <c r="Q124" i="2"/>
  <c r="L124" i="2"/>
  <c r="F124" i="2"/>
  <c r="AM123" i="2"/>
  <c r="AL123" i="2"/>
  <c r="AB123" i="2"/>
  <c r="W123" i="2"/>
  <c r="R123" i="2"/>
  <c r="Q123" i="2"/>
  <c r="L123" i="2"/>
  <c r="F123" i="2"/>
  <c r="AM122" i="2"/>
  <c r="AL122" i="2"/>
  <c r="AB122" i="2"/>
  <c r="W122" i="2"/>
  <c r="R122" i="2"/>
  <c r="Q122" i="2"/>
  <c r="L122" i="2"/>
  <c r="F122" i="2"/>
  <c r="AM121" i="2"/>
  <c r="AL121" i="2"/>
  <c r="AF121" i="2"/>
  <c r="AB121" i="2"/>
  <c r="W121" i="2"/>
  <c r="R121" i="2"/>
  <c r="Q121" i="2"/>
  <c r="L121" i="2"/>
  <c r="F121" i="2"/>
  <c r="AM120" i="2"/>
  <c r="AL120" i="2"/>
  <c r="AF120" i="2"/>
  <c r="AB120" i="2"/>
  <c r="W120" i="2"/>
  <c r="R120" i="2"/>
  <c r="Q120" i="2"/>
  <c r="L120" i="2"/>
  <c r="F120" i="2"/>
  <c r="AM119" i="2"/>
  <c r="AL119" i="2"/>
  <c r="AF119" i="2"/>
  <c r="AB119" i="2"/>
  <c r="W119" i="2"/>
  <c r="R119" i="2"/>
  <c r="Q119" i="2"/>
  <c r="L119" i="2"/>
  <c r="F119" i="2"/>
  <c r="AM118" i="2"/>
  <c r="AL118" i="2"/>
  <c r="AF118" i="2"/>
  <c r="AB118" i="2"/>
  <c r="W118" i="2"/>
  <c r="R118" i="2"/>
  <c r="Q118" i="2"/>
  <c r="L118" i="2"/>
  <c r="F118" i="2"/>
  <c r="AM117" i="2"/>
  <c r="AL117" i="2"/>
  <c r="AF117" i="2"/>
  <c r="AB117" i="2"/>
  <c r="W117" i="2"/>
  <c r="R117" i="2"/>
  <c r="Q117" i="2"/>
  <c r="L117" i="2"/>
  <c r="F117" i="2"/>
  <c r="AM116" i="2"/>
  <c r="AL116" i="2"/>
  <c r="AF116" i="2"/>
  <c r="AB116" i="2"/>
  <c r="W116" i="2"/>
  <c r="R116" i="2"/>
  <c r="Q116" i="2"/>
  <c r="L116" i="2"/>
  <c r="F116" i="2"/>
  <c r="AM115" i="2"/>
  <c r="AL115" i="2"/>
  <c r="AF115" i="2"/>
  <c r="AB115" i="2"/>
  <c r="W115" i="2"/>
  <c r="R115" i="2"/>
  <c r="Q115" i="2"/>
  <c r="L115" i="2"/>
  <c r="F115" i="2"/>
  <c r="AM114" i="2"/>
  <c r="AL114" i="2"/>
  <c r="AF114" i="2"/>
  <c r="AB114" i="2"/>
  <c r="W114" i="2"/>
  <c r="R114" i="2"/>
  <c r="Q114" i="2"/>
  <c r="L114" i="2"/>
  <c r="F114" i="2"/>
  <c r="AM113" i="2"/>
  <c r="AL113" i="2"/>
  <c r="AF113" i="2"/>
  <c r="AB113" i="2"/>
  <c r="W113" i="2"/>
  <c r="R113" i="2"/>
  <c r="Q113" i="2"/>
  <c r="L113" i="2"/>
  <c r="F113" i="2"/>
  <c r="AM112" i="2"/>
  <c r="AL112" i="2"/>
  <c r="AF112" i="2"/>
  <c r="AB112" i="2"/>
  <c r="W112" i="2"/>
  <c r="R112" i="2"/>
  <c r="Q112" i="2"/>
  <c r="L112" i="2"/>
  <c r="F112" i="2"/>
  <c r="AM111" i="2"/>
  <c r="AL111" i="2"/>
  <c r="AF111" i="2"/>
  <c r="AB111" i="2"/>
  <c r="W111" i="2"/>
  <c r="R111" i="2"/>
  <c r="Q111" i="2"/>
  <c r="L111" i="2"/>
  <c r="F111" i="2"/>
  <c r="AM110" i="2"/>
  <c r="AL110" i="2"/>
  <c r="AF110" i="2"/>
  <c r="AB110" i="2"/>
  <c r="W110" i="2"/>
  <c r="R110" i="2"/>
  <c r="Q110" i="2"/>
  <c r="L110" i="2"/>
  <c r="F110" i="2"/>
  <c r="AM109" i="2"/>
  <c r="AL109" i="2"/>
  <c r="AF109" i="2"/>
  <c r="AB109" i="2"/>
  <c r="W109" i="2"/>
  <c r="R109" i="2"/>
  <c r="Q109" i="2"/>
  <c r="L109" i="2"/>
  <c r="F109" i="2"/>
  <c r="AM108" i="2"/>
  <c r="AL108" i="2"/>
  <c r="AF108" i="2"/>
  <c r="AB108" i="2"/>
  <c r="W108" i="2"/>
  <c r="R108" i="2"/>
  <c r="Q108" i="2"/>
  <c r="L108" i="2"/>
  <c r="F108" i="2"/>
  <c r="AM107" i="2"/>
  <c r="AL107" i="2"/>
  <c r="AF107" i="2"/>
  <c r="AB107" i="2"/>
  <c r="W107" i="2"/>
  <c r="R107" i="2"/>
  <c r="Q107" i="2"/>
  <c r="L107" i="2"/>
  <c r="F107" i="2"/>
  <c r="AM106" i="2"/>
  <c r="AL106" i="2"/>
  <c r="AF106" i="2"/>
  <c r="AB106" i="2"/>
  <c r="W106" i="2"/>
  <c r="R106" i="2"/>
  <c r="Q106" i="2"/>
  <c r="L106" i="2"/>
  <c r="F106" i="2"/>
  <c r="AM105" i="2"/>
  <c r="AL105" i="2"/>
  <c r="AF105" i="2"/>
  <c r="AB105" i="2"/>
  <c r="W105" i="2"/>
  <c r="R105" i="2"/>
  <c r="Q105" i="2"/>
  <c r="L105" i="2"/>
  <c r="F105" i="2"/>
  <c r="AM104" i="2"/>
  <c r="AL104" i="2"/>
  <c r="AF104" i="2"/>
  <c r="AB104" i="2"/>
  <c r="W104" i="2"/>
  <c r="R104" i="2"/>
  <c r="Q104" i="2"/>
  <c r="L104" i="2"/>
  <c r="F104" i="2"/>
  <c r="AM103" i="2"/>
  <c r="AL103" i="2"/>
  <c r="AF103" i="2"/>
  <c r="AB103" i="2"/>
  <c r="W103" i="2"/>
  <c r="R103" i="2"/>
  <c r="Q103" i="2"/>
  <c r="L103" i="2"/>
  <c r="F103" i="2"/>
  <c r="AM102" i="2"/>
  <c r="AL102" i="2"/>
  <c r="AF102" i="2"/>
  <c r="AB102" i="2"/>
  <c r="W102" i="2"/>
  <c r="R102" i="2"/>
  <c r="Q102" i="2"/>
  <c r="L102" i="2"/>
  <c r="F102" i="2"/>
  <c r="AM101" i="2"/>
  <c r="AL101" i="2"/>
  <c r="AF101" i="2"/>
  <c r="AB101" i="2"/>
  <c r="W101" i="2"/>
  <c r="R101" i="2"/>
  <c r="Q101" i="2"/>
  <c r="L101" i="2"/>
  <c r="F101" i="2"/>
  <c r="AM100" i="2"/>
  <c r="AL100" i="2"/>
  <c r="AF100" i="2"/>
  <c r="AB100" i="2"/>
  <c r="W100" i="2"/>
  <c r="R100" i="2"/>
  <c r="Q100" i="2"/>
  <c r="L100" i="2"/>
  <c r="F100" i="2"/>
  <c r="AM99" i="2"/>
  <c r="AL99" i="2"/>
  <c r="AF99" i="2"/>
  <c r="AB99" i="2"/>
  <c r="W99" i="2"/>
  <c r="R99" i="2"/>
  <c r="Q99" i="2"/>
  <c r="L99" i="2"/>
  <c r="F99" i="2"/>
  <c r="AM98" i="2"/>
  <c r="AL98" i="2"/>
  <c r="AF98" i="2"/>
  <c r="AB98" i="2"/>
  <c r="W98" i="2"/>
  <c r="R98" i="2"/>
  <c r="Q98" i="2"/>
  <c r="L98" i="2"/>
  <c r="F98" i="2"/>
  <c r="AM97" i="2"/>
  <c r="AL97" i="2"/>
  <c r="AF97" i="2"/>
  <c r="AB97" i="2"/>
  <c r="W97" i="2"/>
  <c r="R97" i="2"/>
  <c r="Q97" i="2"/>
  <c r="L97" i="2"/>
  <c r="F97" i="2"/>
  <c r="AM96" i="2"/>
  <c r="AL96" i="2"/>
  <c r="AF96" i="2"/>
  <c r="AB96" i="2"/>
  <c r="W96" i="2"/>
  <c r="R96" i="2"/>
  <c r="Q96" i="2"/>
  <c r="L96" i="2"/>
  <c r="F96" i="2"/>
  <c r="AM95" i="2"/>
  <c r="AL95" i="2"/>
  <c r="AF95" i="2"/>
  <c r="AB95" i="2"/>
  <c r="W95" i="2"/>
  <c r="R95" i="2"/>
  <c r="Q95" i="2"/>
  <c r="L95" i="2"/>
  <c r="F95" i="2"/>
  <c r="AM94" i="2"/>
  <c r="AL94" i="2"/>
  <c r="AF94" i="2"/>
  <c r="AB94" i="2"/>
  <c r="W94" i="2"/>
  <c r="R94" i="2"/>
  <c r="Q94" i="2"/>
  <c r="L94" i="2"/>
  <c r="F94" i="2"/>
  <c r="AM93" i="2"/>
  <c r="AL93" i="2"/>
  <c r="AF93" i="2"/>
  <c r="AB93" i="2"/>
  <c r="W93" i="2"/>
  <c r="R93" i="2"/>
  <c r="Q93" i="2"/>
  <c r="L93" i="2"/>
  <c r="F93" i="2"/>
  <c r="AM92" i="2"/>
  <c r="AL92" i="2"/>
  <c r="AF92" i="2"/>
  <c r="AB92" i="2"/>
  <c r="W92" i="2"/>
  <c r="R92" i="2"/>
  <c r="Q92" i="2"/>
  <c r="L92" i="2"/>
  <c r="F92" i="2"/>
  <c r="AM91" i="2"/>
  <c r="AL91" i="2"/>
  <c r="AF91" i="2"/>
  <c r="AB91" i="2"/>
  <c r="W91" i="2"/>
  <c r="R91" i="2"/>
  <c r="Q91" i="2"/>
  <c r="L91" i="2"/>
  <c r="F91" i="2"/>
  <c r="AM90" i="2"/>
  <c r="AL90" i="2"/>
  <c r="AF90" i="2"/>
  <c r="AB90" i="2"/>
  <c r="W90" i="2"/>
  <c r="R90" i="2"/>
  <c r="Q90" i="2"/>
  <c r="L90" i="2"/>
  <c r="F90" i="2"/>
  <c r="AM89" i="2"/>
  <c r="AL89" i="2"/>
  <c r="AF89" i="2"/>
  <c r="AB89" i="2"/>
  <c r="W89" i="2"/>
  <c r="R89" i="2"/>
  <c r="Q89" i="2"/>
  <c r="L89" i="2"/>
  <c r="F89" i="2"/>
  <c r="AM88" i="2"/>
  <c r="AL88" i="2"/>
  <c r="AF88" i="2"/>
  <c r="AB88" i="2"/>
  <c r="W88" i="2"/>
  <c r="R88" i="2"/>
  <c r="R46" i="2" s="1"/>
  <c r="Q88" i="2"/>
  <c r="L88" i="2"/>
  <c r="F88" i="2"/>
  <c r="AM87" i="2"/>
  <c r="AL87" i="2"/>
  <c r="AF87" i="2"/>
  <c r="AB87" i="2"/>
  <c r="W87" i="2"/>
  <c r="R87" i="2"/>
  <c r="L87" i="2"/>
  <c r="F87" i="2"/>
  <c r="AM86" i="2"/>
  <c r="AL86" i="2"/>
  <c r="AF86" i="2"/>
  <c r="AB86" i="2"/>
  <c r="W86" i="2"/>
  <c r="R86" i="2"/>
  <c r="Q86" i="2"/>
  <c r="L86" i="2"/>
  <c r="F86" i="2"/>
  <c r="AM85" i="2"/>
  <c r="AL85" i="2"/>
  <c r="AF85" i="2"/>
  <c r="AB85" i="2"/>
  <c r="W85" i="2"/>
  <c r="R85" i="2"/>
  <c r="Q85" i="2"/>
  <c r="L85" i="2"/>
  <c r="F85" i="2"/>
  <c r="AM84" i="2"/>
  <c r="AL84" i="2"/>
  <c r="AF84" i="2"/>
  <c r="AB84" i="2"/>
  <c r="W84" i="2"/>
  <c r="R84" i="2"/>
  <c r="Q84" i="2"/>
  <c r="L84" i="2"/>
  <c r="F84" i="2"/>
  <c r="AM83" i="2"/>
  <c r="AL83" i="2"/>
  <c r="AF83" i="2"/>
  <c r="AB83" i="2"/>
  <c r="W83" i="2"/>
  <c r="R83" i="2"/>
  <c r="Q83" i="2"/>
  <c r="L83" i="2"/>
  <c r="F83" i="2"/>
  <c r="AM82" i="2"/>
  <c r="AL82" i="2"/>
  <c r="AF82" i="2"/>
  <c r="AB82" i="2"/>
  <c r="W82" i="2"/>
  <c r="R82" i="2"/>
  <c r="Q82" i="2"/>
  <c r="L82" i="2"/>
  <c r="F82" i="2"/>
  <c r="AM81" i="2"/>
  <c r="AL81" i="2"/>
  <c r="AF81" i="2"/>
  <c r="AB81" i="2"/>
  <c r="W81" i="2"/>
  <c r="R81" i="2"/>
  <c r="Q81" i="2"/>
  <c r="L81" i="2"/>
  <c r="F81" i="2"/>
  <c r="AM80" i="2"/>
  <c r="AL80" i="2"/>
  <c r="AF80" i="2"/>
  <c r="AB80" i="2"/>
  <c r="W80" i="2"/>
  <c r="R80" i="2"/>
  <c r="Q80" i="2"/>
  <c r="L80" i="2"/>
  <c r="F80" i="2"/>
  <c r="AM79" i="2"/>
  <c r="AL79" i="2"/>
  <c r="AF79" i="2"/>
  <c r="AB79" i="2"/>
  <c r="W79" i="2"/>
  <c r="R79" i="2"/>
  <c r="Q79" i="2"/>
  <c r="L79" i="2"/>
  <c r="F79" i="2"/>
  <c r="AM78" i="2"/>
  <c r="AL78" i="2"/>
  <c r="AF78" i="2"/>
  <c r="AB78" i="2"/>
  <c r="W78" i="2"/>
  <c r="R78" i="2"/>
  <c r="Q78" i="2"/>
  <c r="L78" i="2"/>
  <c r="F78" i="2"/>
  <c r="AM77" i="2"/>
  <c r="AL77" i="2"/>
  <c r="AF77" i="2"/>
  <c r="AB77" i="2"/>
  <c r="W77" i="2"/>
  <c r="Q77" i="2"/>
  <c r="L77" i="2"/>
  <c r="F77" i="2"/>
  <c r="AM76" i="2"/>
  <c r="AL76" i="2"/>
  <c r="AF76" i="2"/>
  <c r="AB76" i="2"/>
  <c r="W76" i="2"/>
  <c r="R76" i="2"/>
  <c r="Q76" i="2"/>
  <c r="L76" i="2"/>
  <c r="F76" i="2"/>
  <c r="AM75" i="2"/>
  <c r="AL75" i="2"/>
  <c r="AF75" i="2"/>
  <c r="AB75" i="2"/>
  <c r="W75" i="2"/>
  <c r="R75" i="2"/>
  <c r="Q75" i="2"/>
  <c r="L75" i="2"/>
  <c r="F75" i="2"/>
  <c r="AM74" i="2"/>
  <c r="AL74" i="2"/>
  <c r="AF74" i="2"/>
  <c r="AB74" i="2"/>
  <c r="W74" i="2"/>
  <c r="R74" i="2"/>
  <c r="Q74" i="2"/>
  <c r="L74" i="2"/>
  <c r="F74" i="2"/>
  <c r="AM73" i="2"/>
  <c r="AL73" i="2"/>
  <c r="AF73" i="2"/>
  <c r="AB73" i="2"/>
  <c r="W73" i="2"/>
  <c r="R73" i="2"/>
  <c r="Q73" i="2"/>
  <c r="L73" i="2"/>
  <c r="F73" i="2"/>
  <c r="AM72" i="2"/>
  <c r="AL72" i="2"/>
  <c r="AF72" i="2"/>
  <c r="AB72" i="2"/>
  <c r="W72" i="2"/>
  <c r="R72" i="2"/>
  <c r="Q72" i="2"/>
  <c r="L72" i="2"/>
  <c r="F72" i="2"/>
  <c r="AM71" i="2"/>
  <c r="AL71" i="2"/>
  <c r="AF71" i="2"/>
  <c r="AB71" i="2"/>
  <c r="W71" i="2"/>
  <c r="R71" i="2"/>
  <c r="Q71" i="2"/>
  <c r="L71" i="2"/>
  <c r="F71" i="2"/>
  <c r="AM70" i="2"/>
  <c r="AL70" i="2"/>
  <c r="AB70" i="2"/>
  <c r="W70" i="2"/>
  <c r="R70" i="2"/>
  <c r="Q70" i="2"/>
  <c r="L70" i="2"/>
  <c r="F70" i="2"/>
  <c r="AM69" i="2"/>
  <c r="AL69" i="2"/>
  <c r="AF69" i="2"/>
  <c r="AB69" i="2"/>
  <c r="W69" i="2"/>
  <c r="R69" i="2"/>
  <c r="Q69" i="2"/>
  <c r="L69" i="2"/>
  <c r="F69" i="2"/>
  <c r="AM68" i="2"/>
  <c r="AL68" i="2"/>
  <c r="AB68" i="2"/>
  <c r="W68" i="2"/>
  <c r="R68" i="2"/>
  <c r="Q68" i="2"/>
  <c r="L68" i="2"/>
  <c r="F68" i="2"/>
  <c r="AM67" i="2"/>
  <c r="AL67" i="2"/>
  <c r="AF67" i="2"/>
  <c r="AB67" i="2"/>
  <c r="W67" i="2"/>
  <c r="R67" i="2"/>
  <c r="Q67" i="2"/>
  <c r="L67" i="2"/>
  <c r="F67" i="2"/>
  <c r="AM66" i="2"/>
  <c r="AL66" i="2"/>
  <c r="AF66" i="2"/>
  <c r="AB66" i="2"/>
  <c r="W66" i="2"/>
  <c r="R66" i="2"/>
  <c r="Q66" i="2"/>
  <c r="L66" i="2"/>
  <c r="F66" i="2"/>
  <c r="AM65" i="2"/>
  <c r="AL65" i="2"/>
  <c r="AF65" i="2"/>
  <c r="AB65" i="2"/>
  <c r="W65" i="2"/>
  <c r="R65" i="2"/>
  <c r="Q65" i="2"/>
  <c r="L65" i="2"/>
  <c r="F65" i="2"/>
  <c r="AM64" i="2"/>
  <c r="AL64" i="2"/>
  <c r="AF64" i="2"/>
  <c r="AB64" i="2"/>
  <c r="W64" i="2"/>
  <c r="R64" i="2"/>
  <c r="Q64" i="2"/>
  <c r="L64" i="2"/>
  <c r="F64" i="2"/>
  <c r="AM63" i="2"/>
  <c r="AL63" i="2"/>
  <c r="AF63" i="2"/>
  <c r="AB63" i="2"/>
  <c r="W63" i="2"/>
  <c r="R63" i="2"/>
  <c r="Q63" i="2"/>
  <c r="L63" i="2"/>
  <c r="F63" i="2"/>
  <c r="AM62" i="2"/>
  <c r="AL62" i="2"/>
  <c r="AF62" i="2"/>
  <c r="AB62" i="2"/>
  <c r="W62" i="2"/>
  <c r="R62" i="2"/>
  <c r="Q62" i="2"/>
  <c r="L62" i="2"/>
  <c r="F62" i="2"/>
  <c r="AM61" i="2"/>
  <c r="AL61" i="2"/>
  <c r="AB61" i="2"/>
  <c r="W61" i="2"/>
  <c r="R61" i="2"/>
  <c r="Q61" i="2"/>
  <c r="L61" i="2"/>
  <c r="F61" i="2"/>
  <c r="AM60" i="2"/>
  <c r="AL60" i="2"/>
  <c r="AF60" i="2"/>
  <c r="AB60" i="2"/>
  <c r="W60" i="2"/>
  <c r="R60" i="2"/>
  <c r="Q60" i="2"/>
  <c r="L60" i="2"/>
  <c r="F60" i="2"/>
  <c r="AM59" i="2"/>
  <c r="AL59" i="2"/>
  <c r="AF59" i="2"/>
  <c r="AB59" i="2"/>
  <c r="W59" i="2"/>
  <c r="R59" i="2"/>
  <c r="Q59" i="2"/>
  <c r="L59" i="2"/>
  <c r="F59" i="2"/>
  <c r="AM58" i="2"/>
  <c r="AL58" i="2"/>
  <c r="AF58" i="2"/>
  <c r="AB58" i="2"/>
  <c r="W58" i="2"/>
  <c r="R58" i="2"/>
  <c r="Q58" i="2"/>
  <c r="L58" i="2"/>
  <c r="F58" i="2"/>
  <c r="AM57" i="2"/>
  <c r="AL57" i="2"/>
  <c r="AF57" i="2"/>
  <c r="AB57" i="2"/>
  <c r="W57" i="2"/>
  <c r="R57" i="2"/>
  <c r="Q57" i="2"/>
  <c r="L57" i="2"/>
  <c r="F57" i="2"/>
  <c r="AM56" i="2"/>
  <c r="AL56" i="2"/>
  <c r="AF56" i="2"/>
  <c r="AB56" i="2"/>
  <c r="W56" i="2"/>
  <c r="R56" i="2"/>
  <c r="Q56" i="2"/>
  <c r="L56" i="2"/>
  <c r="F56" i="2"/>
  <c r="AM55" i="2"/>
  <c r="AL55" i="2"/>
  <c r="AF55" i="2"/>
  <c r="AB55" i="2"/>
  <c r="W55" i="2"/>
  <c r="R55" i="2"/>
  <c r="Q55" i="2"/>
  <c r="L55" i="2"/>
  <c r="F55" i="2"/>
  <c r="AM54" i="2"/>
  <c r="AL54" i="2"/>
  <c r="AF54" i="2"/>
  <c r="AB54" i="2"/>
  <c r="W54" i="2"/>
  <c r="R54" i="2"/>
  <c r="Q54" i="2"/>
  <c r="L54" i="2"/>
  <c r="F54" i="2"/>
  <c r="AM53" i="2"/>
  <c r="AL53" i="2"/>
  <c r="AF53" i="2"/>
  <c r="AB53" i="2"/>
  <c r="W53" i="2"/>
  <c r="R53" i="2"/>
  <c r="Q53" i="2"/>
  <c r="L53" i="2"/>
  <c r="F53" i="2"/>
  <c r="AM52" i="2"/>
  <c r="AL52" i="2"/>
  <c r="AB52" i="2"/>
  <c r="W52" i="2"/>
  <c r="R52" i="2"/>
  <c r="Q52" i="2"/>
  <c r="L52" i="2"/>
  <c r="F52" i="2"/>
  <c r="AM51" i="2"/>
  <c r="AL51" i="2"/>
  <c r="AF51" i="2"/>
  <c r="AB51" i="2"/>
  <c r="W51" i="2"/>
  <c r="R51" i="2"/>
  <c r="Q51" i="2"/>
  <c r="L51" i="2"/>
  <c r="F51" i="2"/>
  <c r="AM50" i="2"/>
  <c r="AL50" i="2"/>
  <c r="AF50" i="2"/>
  <c r="AB50" i="2"/>
  <c r="W50" i="2"/>
  <c r="R50" i="2"/>
  <c r="Q50" i="2"/>
  <c r="L50" i="2"/>
  <c r="F50" i="2"/>
  <c r="AM49" i="2"/>
  <c r="AL49" i="2"/>
  <c r="AF49" i="2"/>
  <c r="AB49" i="2"/>
  <c r="W49" i="2"/>
  <c r="R49" i="2"/>
  <c r="Q49" i="2"/>
  <c r="L49" i="2"/>
  <c r="F49" i="2"/>
  <c r="AM48" i="2"/>
  <c r="AL48" i="2"/>
  <c r="AF48" i="2"/>
  <c r="AB48" i="2"/>
  <c r="W48" i="2"/>
  <c r="R48" i="2"/>
  <c r="Q48" i="2"/>
  <c r="L48" i="2"/>
  <c r="F48" i="2"/>
  <c r="AM47" i="2"/>
  <c r="AL47" i="2"/>
  <c r="AB47" i="2"/>
  <c r="W47" i="2"/>
  <c r="L47" i="2"/>
  <c r="AM46" i="2"/>
  <c r="AL46" i="2"/>
  <c r="AB46" i="2"/>
  <c r="W46" i="2"/>
  <c r="L46" i="2"/>
  <c r="F46" i="2"/>
  <c r="AM45" i="2"/>
  <c r="AL45" i="2"/>
  <c r="AB45" i="2"/>
  <c r="W45" i="2"/>
  <c r="Q45" i="2"/>
  <c r="L45" i="2"/>
  <c r="F45" i="2"/>
  <c r="AM44" i="2"/>
  <c r="AL44" i="2"/>
  <c r="AF44" i="2"/>
  <c r="AB44" i="2"/>
  <c r="W44" i="2"/>
  <c r="R44" i="2"/>
  <c r="Q44" i="2"/>
  <c r="L44" i="2"/>
  <c r="F44" i="2"/>
  <c r="AM43" i="2"/>
  <c r="AL43" i="2"/>
  <c r="AF43" i="2"/>
  <c r="AB43" i="2"/>
  <c r="W43" i="2"/>
  <c r="R43" i="2"/>
  <c r="Q43" i="2"/>
  <c r="L43" i="2"/>
  <c r="F43" i="2"/>
  <c r="AM42" i="2"/>
  <c r="AL42" i="2"/>
  <c r="AB42" i="2"/>
  <c r="W42" i="2"/>
  <c r="R42" i="2"/>
  <c r="Q42" i="2"/>
  <c r="L42" i="2"/>
  <c r="F42" i="2"/>
  <c r="AM41" i="2"/>
  <c r="AL41" i="2"/>
  <c r="AB41" i="2"/>
  <c r="W41" i="2"/>
  <c r="R41" i="2"/>
  <c r="Q41" i="2"/>
  <c r="L41" i="2"/>
  <c r="F41" i="2"/>
  <c r="AM40" i="2"/>
  <c r="AL40" i="2"/>
  <c r="AB40" i="2"/>
  <c r="W40" i="2"/>
  <c r="R40" i="2"/>
  <c r="Q40" i="2"/>
  <c r="L40" i="2"/>
  <c r="F40" i="2"/>
  <c r="AM39" i="2"/>
  <c r="AL39" i="2"/>
  <c r="AB39" i="2"/>
  <c r="W39" i="2"/>
  <c r="R39" i="2"/>
  <c r="R45" i="2" s="1"/>
  <c r="Q39" i="2"/>
  <c r="L39" i="2"/>
  <c r="F39" i="2"/>
  <c r="AM38" i="2"/>
  <c r="AL38" i="2"/>
  <c r="AB38" i="2"/>
  <c r="W38" i="2"/>
  <c r="R38" i="2"/>
  <c r="Q38" i="2"/>
  <c r="L38" i="2"/>
  <c r="F38" i="2"/>
  <c r="AM37" i="2"/>
  <c r="AL37" i="2"/>
  <c r="AB37" i="2"/>
  <c r="W37" i="2"/>
  <c r="R37" i="2"/>
  <c r="Q37" i="2"/>
  <c r="L37" i="2"/>
  <c r="F37" i="2"/>
  <c r="AM36" i="2"/>
  <c r="AL36" i="2"/>
  <c r="AB36" i="2"/>
  <c r="W36" i="2"/>
  <c r="R36" i="2"/>
  <c r="Q36" i="2"/>
  <c r="L36" i="2"/>
  <c r="F36" i="2"/>
  <c r="AM35" i="2"/>
  <c r="AL35" i="2"/>
  <c r="AB35" i="2"/>
  <c r="W35" i="2"/>
  <c r="R35" i="2"/>
  <c r="Q35" i="2"/>
  <c r="L35" i="2"/>
  <c r="F35" i="2"/>
  <c r="AM34" i="2"/>
  <c r="AL34" i="2"/>
  <c r="AB34" i="2"/>
  <c r="W34" i="2"/>
  <c r="R34" i="2"/>
  <c r="Q34" i="2"/>
  <c r="L34" i="2"/>
  <c r="F34" i="2"/>
  <c r="AM33" i="2"/>
  <c r="AL33" i="2"/>
  <c r="AB33" i="2"/>
  <c r="W33" i="2"/>
  <c r="R33" i="2"/>
  <c r="Q33" i="2"/>
  <c r="L33" i="2"/>
  <c r="F33" i="2"/>
  <c r="AM32" i="2"/>
  <c r="AL32" i="2"/>
  <c r="AB32" i="2"/>
  <c r="W32" i="2"/>
  <c r="R32" i="2"/>
  <c r="Q32" i="2"/>
  <c r="L32" i="2"/>
  <c r="F32" i="2"/>
  <c r="AM31" i="2"/>
  <c r="AL31" i="2"/>
  <c r="AB31" i="2"/>
  <c r="W31" i="2"/>
  <c r="R31" i="2"/>
  <c r="Q31" i="2"/>
  <c r="L31" i="2"/>
  <c r="F31" i="2"/>
  <c r="AM30" i="2"/>
  <c r="AL30" i="2"/>
  <c r="AB30" i="2"/>
  <c r="W30" i="2"/>
  <c r="R30" i="2"/>
  <c r="Q30" i="2"/>
  <c r="L30" i="2"/>
  <c r="F30" i="2"/>
  <c r="AM29" i="2"/>
  <c r="AL29" i="2"/>
  <c r="AB29" i="2"/>
  <c r="W29" i="2"/>
  <c r="R29" i="2"/>
  <c r="Q29" i="2"/>
  <c r="L29" i="2"/>
  <c r="F29" i="2"/>
  <c r="AM28" i="2"/>
  <c r="AL28" i="2"/>
  <c r="AB28" i="2"/>
  <c r="W28" i="2"/>
  <c r="R28" i="2"/>
  <c r="Q28" i="2"/>
  <c r="L28" i="2"/>
  <c r="F28" i="2"/>
  <c r="AM27" i="2"/>
  <c r="AL27" i="2"/>
  <c r="AB27" i="2"/>
  <c r="W27" i="2"/>
  <c r="R27" i="2"/>
  <c r="Q27" i="2"/>
  <c r="L27" i="2"/>
  <c r="F27" i="2"/>
  <c r="AM26" i="2"/>
  <c r="AL26" i="2"/>
  <c r="AB26" i="2"/>
  <c r="W26" i="2"/>
  <c r="R26" i="2"/>
  <c r="Q26" i="2"/>
  <c r="L26" i="2"/>
  <c r="F26" i="2"/>
  <c r="AM25" i="2"/>
  <c r="AL25" i="2"/>
  <c r="AB25" i="2"/>
  <c r="W25" i="2"/>
  <c r="R25" i="2"/>
  <c r="Q25" i="2"/>
  <c r="L25" i="2"/>
  <c r="F25" i="2"/>
  <c r="AM24" i="2"/>
  <c r="AL24" i="2"/>
  <c r="AB24" i="2"/>
  <c r="W24" i="2"/>
  <c r="Q24" i="2"/>
  <c r="L24" i="2"/>
  <c r="F24" i="2"/>
  <c r="T24" i="2" s="1"/>
  <c r="U24" i="2" s="1"/>
  <c r="AM23" i="2"/>
  <c r="AL23" i="2"/>
  <c r="AB23" i="2"/>
  <c r="W23" i="2"/>
  <c r="Q23" i="2"/>
  <c r="L23" i="2"/>
  <c r="F23" i="2"/>
  <c r="T23" i="2" s="1"/>
  <c r="U23" i="2" s="1"/>
  <c r="AM22" i="2"/>
  <c r="AL22" i="2"/>
  <c r="AB22" i="2"/>
  <c r="W22" i="2"/>
  <c r="Q22" i="2"/>
  <c r="L22" i="2"/>
  <c r="F22" i="2"/>
  <c r="T22" i="2" s="1"/>
  <c r="U22" i="2" s="1"/>
  <c r="AM21" i="2"/>
  <c r="AL21" i="2"/>
  <c r="AB21" i="2"/>
  <c r="W21" i="2"/>
  <c r="R21" i="2"/>
  <c r="Q21" i="2"/>
  <c r="L21" i="2"/>
  <c r="F21" i="2"/>
  <c r="AM20" i="2"/>
  <c r="AL20" i="2"/>
  <c r="AB20" i="2"/>
  <c r="W20" i="2"/>
  <c r="Q20" i="2"/>
  <c r="L20" i="2"/>
  <c r="F20" i="2"/>
  <c r="T20" i="2" s="1"/>
  <c r="U20" i="2" s="1"/>
  <c r="AM19" i="2"/>
  <c r="AL19" i="2"/>
  <c r="AB19" i="2"/>
  <c r="W19" i="2"/>
  <c r="Q19" i="2"/>
  <c r="L19" i="2"/>
  <c r="F19" i="2"/>
  <c r="AM18" i="2"/>
  <c r="AL18" i="2"/>
  <c r="AB18" i="2"/>
  <c r="W18" i="2"/>
  <c r="Q18" i="2"/>
  <c r="L18" i="2"/>
  <c r="F18" i="2"/>
  <c r="AM17" i="2"/>
  <c r="AL17" i="2"/>
  <c r="AB17" i="2"/>
  <c r="W17" i="2"/>
  <c r="Q17" i="2"/>
  <c r="L17" i="2"/>
  <c r="F17" i="2"/>
  <c r="T17" i="2" s="1"/>
  <c r="U17" i="2" s="1"/>
  <c r="AM16" i="2"/>
  <c r="AL16" i="2"/>
  <c r="AB16" i="2"/>
  <c r="W16" i="2"/>
  <c r="Q16" i="2"/>
  <c r="L16" i="2"/>
  <c r="F16" i="2"/>
  <c r="T16" i="2" s="1"/>
  <c r="U16" i="2" s="1"/>
  <c r="AM15" i="2"/>
  <c r="AL15" i="2"/>
  <c r="AB15" i="2"/>
  <c r="W15" i="2"/>
  <c r="Q15" i="2"/>
  <c r="L15" i="2"/>
  <c r="F15" i="2"/>
  <c r="T15" i="2" s="1"/>
  <c r="U15" i="2" s="1"/>
  <c r="AM14" i="2"/>
  <c r="AL14" i="2"/>
  <c r="AB14" i="2"/>
  <c r="W14" i="2"/>
  <c r="Q14" i="2"/>
  <c r="L14" i="2"/>
  <c r="F14" i="2"/>
  <c r="T14" i="2" s="1"/>
  <c r="U14" i="2" s="1"/>
  <c r="AM13" i="2"/>
  <c r="AL13" i="2"/>
  <c r="AB13" i="2"/>
  <c r="W13" i="2"/>
  <c r="Q13" i="2"/>
  <c r="L13" i="2"/>
  <c r="F13" i="2"/>
  <c r="T13" i="2" s="1"/>
  <c r="U13" i="2" s="1"/>
  <c r="AM12" i="2"/>
  <c r="AL12" i="2"/>
  <c r="AB12" i="2"/>
  <c r="W12" i="2"/>
  <c r="Q12" i="2"/>
  <c r="L12" i="2"/>
  <c r="F12" i="2"/>
  <c r="T12" i="2" s="1"/>
  <c r="U12" i="2" s="1"/>
  <c r="AM11" i="2"/>
  <c r="AL11" i="2"/>
  <c r="AB11" i="2"/>
  <c r="W11" i="2"/>
  <c r="Q11" i="2"/>
  <c r="L11" i="2"/>
  <c r="F11" i="2"/>
  <c r="AM10" i="2"/>
  <c r="AL10" i="2"/>
  <c r="AB10" i="2"/>
  <c r="W10" i="2"/>
  <c r="R10" i="2"/>
  <c r="Q10" i="2"/>
  <c r="L10" i="2"/>
  <c r="F10" i="2"/>
  <c r="AM9" i="2"/>
  <c r="AL9" i="2"/>
  <c r="AB9" i="2"/>
  <c r="W9" i="2"/>
  <c r="Q9" i="2"/>
  <c r="L9" i="2"/>
  <c r="F9" i="2"/>
  <c r="AM8" i="2"/>
  <c r="AL8" i="2"/>
  <c r="AB8" i="2"/>
  <c r="W8" i="2"/>
  <c r="Q8" i="2"/>
  <c r="L8" i="2"/>
  <c r="F8" i="2"/>
  <c r="AO7" i="2"/>
  <c r="AO6" i="2"/>
  <c r="L3" i="2"/>
  <c r="I3" i="2"/>
  <c r="C7" i="4"/>
  <c r="I58" i="1"/>
  <c r="L50" i="1"/>
  <c r="Q301" i="2"/>
  <c r="C18" i="1"/>
  <c r="F17" i="1"/>
  <c r="D11" i="1"/>
  <c r="C16" i="4"/>
  <c r="M13" i="1"/>
  <c r="M14" i="1" s="1"/>
  <c r="M16" i="1" s="1"/>
  <c r="X32" i="2" l="1"/>
  <c r="X37" i="2"/>
  <c r="X159" i="2"/>
  <c r="X163" i="2"/>
  <c r="X164" i="2"/>
  <c r="X165" i="2"/>
  <c r="X166" i="2"/>
  <c r="X167" i="2"/>
  <c r="X168" i="2"/>
  <c r="X169" i="2"/>
  <c r="X170" i="2"/>
  <c r="X171" i="2"/>
  <c r="X172" i="2"/>
  <c r="N104" i="2"/>
  <c r="N112" i="2"/>
  <c r="N120" i="2"/>
  <c r="N130" i="2"/>
  <c r="N138" i="2"/>
  <c r="N146" i="2"/>
  <c r="N154" i="2"/>
  <c r="N155" i="2"/>
  <c r="N163" i="2"/>
  <c r="N164" i="2"/>
  <c r="N165" i="2"/>
  <c r="N166" i="2"/>
  <c r="N167" i="2"/>
  <c r="Z300" i="2"/>
  <c r="N88" i="2"/>
  <c r="N96" i="2"/>
  <c r="N168" i="2"/>
  <c r="N169" i="2"/>
  <c r="N51" i="2"/>
  <c r="N70" i="2"/>
  <c r="N71" i="2"/>
  <c r="N80" i="2"/>
  <c r="N191" i="2"/>
  <c r="N199" i="2"/>
  <c r="N207" i="2"/>
  <c r="N215" i="2"/>
  <c r="N223" i="2"/>
  <c r="N231" i="2"/>
  <c r="N239" i="2"/>
  <c r="N247" i="2"/>
  <c r="N255" i="2"/>
  <c r="N263" i="2"/>
  <c r="N271" i="2"/>
  <c r="N279" i="2"/>
  <c r="N287" i="2"/>
  <c r="N295" i="2"/>
  <c r="N302" i="2"/>
  <c r="N321" i="2"/>
  <c r="N60" i="2"/>
  <c r="N9" i="2"/>
  <c r="T9" i="2"/>
  <c r="U9" i="2" s="1"/>
  <c r="N10" i="2"/>
  <c r="N11" i="2"/>
  <c r="T11" i="2"/>
  <c r="U11" i="2" s="1"/>
  <c r="N19" i="2"/>
  <c r="T19" i="2"/>
  <c r="U19" i="2" s="1"/>
  <c r="N49" i="2"/>
  <c r="N58" i="2"/>
  <c r="N67" i="2"/>
  <c r="N78" i="2"/>
  <c r="N86" i="2"/>
  <c r="N94" i="2"/>
  <c r="N102" i="2"/>
  <c r="N110" i="2"/>
  <c r="N118" i="2"/>
  <c r="N128" i="2"/>
  <c r="N136" i="2"/>
  <c r="N144" i="2"/>
  <c r="N152" i="2"/>
  <c r="N161" i="2"/>
  <c r="N254" i="2"/>
  <c r="N262" i="2"/>
  <c r="N286" i="2"/>
  <c r="N294" i="2"/>
  <c r="N305" i="2"/>
  <c r="N325" i="2"/>
  <c r="N18" i="2"/>
  <c r="T18" i="2"/>
  <c r="U18" i="2" s="1"/>
  <c r="N75" i="2"/>
  <c r="Z222" i="2"/>
  <c r="N222" i="2"/>
  <c r="Z238" i="2"/>
  <c r="N238" i="2"/>
  <c r="Z278" i="2"/>
  <c r="N278" i="2"/>
  <c r="Z69" i="2"/>
  <c r="N69" i="2"/>
  <c r="Z153" i="2"/>
  <c r="N153" i="2"/>
  <c r="Z162" i="2"/>
  <c r="N162" i="2"/>
  <c r="T8" i="2"/>
  <c r="U8" i="2" s="1"/>
  <c r="N8" i="2"/>
  <c r="N17" i="2"/>
  <c r="N170" i="2"/>
  <c r="N171" i="2"/>
  <c r="N172" i="2"/>
  <c r="N173" i="2"/>
  <c r="N174" i="2"/>
  <c r="N175" i="2"/>
  <c r="N176" i="2"/>
  <c r="N177" i="2"/>
  <c r="N178" i="2"/>
  <c r="Z192" i="2"/>
  <c r="N192" i="2"/>
  <c r="N200" i="2"/>
  <c r="Z208" i="2"/>
  <c r="N208" i="2"/>
  <c r="N216" i="2"/>
  <c r="N224" i="2"/>
  <c r="N232" i="2"/>
  <c r="N240" i="2"/>
  <c r="N248" i="2"/>
  <c r="N256" i="2"/>
  <c r="N264" i="2"/>
  <c r="N272" i="2"/>
  <c r="N280" i="2"/>
  <c r="N288" i="2"/>
  <c r="Z296" i="2"/>
  <c r="N296" i="2"/>
  <c r="Z77" i="2"/>
  <c r="N77" i="2"/>
  <c r="Z59" i="2"/>
  <c r="N59" i="2"/>
  <c r="Z68" i="2"/>
  <c r="N68" i="2"/>
  <c r="Z87" i="2"/>
  <c r="N87" i="2"/>
  <c r="Z119" i="2"/>
  <c r="N119" i="2"/>
  <c r="N16" i="2"/>
  <c r="Z25" i="2"/>
  <c r="N25" i="2"/>
  <c r="Z26" i="2"/>
  <c r="N26" i="2"/>
  <c r="Z27" i="2"/>
  <c r="N27" i="2"/>
  <c r="Z28" i="2"/>
  <c r="N28" i="2"/>
  <c r="Z29" i="2"/>
  <c r="N29" i="2"/>
  <c r="Z30" i="2"/>
  <c r="N30" i="2"/>
  <c r="Z31" i="2"/>
  <c r="N31" i="2"/>
  <c r="N32" i="2"/>
  <c r="Z33" i="2"/>
  <c r="N33" i="2"/>
  <c r="Z34" i="2"/>
  <c r="N34" i="2"/>
  <c r="Z35" i="2"/>
  <c r="N35" i="2"/>
  <c r="Z36" i="2"/>
  <c r="N36" i="2"/>
  <c r="N37" i="2"/>
  <c r="Z38" i="2"/>
  <c r="N38" i="2"/>
  <c r="Z39" i="2"/>
  <c r="N39" i="2"/>
  <c r="Z40" i="2"/>
  <c r="N40" i="2"/>
  <c r="Z41" i="2"/>
  <c r="N41" i="2"/>
  <c r="Z42" i="2"/>
  <c r="N42" i="2"/>
  <c r="Z43" i="2"/>
  <c r="N43" i="2"/>
  <c r="Z52" i="2"/>
  <c r="N52" i="2"/>
  <c r="Z53" i="2"/>
  <c r="N53" i="2"/>
  <c r="Z61" i="2"/>
  <c r="N61" i="2"/>
  <c r="Z62" i="2"/>
  <c r="N62" i="2"/>
  <c r="Z72" i="2"/>
  <c r="N72" i="2"/>
  <c r="Z81" i="2"/>
  <c r="N81" i="2"/>
  <c r="Z89" i="2"/>
  <c r="N89" i="2"/>
  <c r="Z97" i="2"/>
  <c r="N97" i="2"/>
  <c r="Z105" i="2"/>
  <c r="N105" i="2"/>
  <c r="Z113" i="2"/>
  <c r="N113" i="2"/>
  <c r="Z121" i="2"/>
  <c r="N121" i="2"/>
  <c r="N131" i="2"/>
  <c r="N139" i="2"/>
  <c r="N147" i="2"/>
  <c r="N156" i="2"/>
  <c r="N179" i="2"/>
  <c r="N180" i="2"/>
  <c r="N181" i="2"/>
  <c r="N182" i="2"/>
  <c r="N183" i="2"/>
  <c r="N193" i="2"/>
  <c r="N201" i="2"/>
  <c r="N209" i="2"/>
  <c r="N217" i="2"/>
  <c r="N225" i="2"/>
  <c r="N233" i="2"/>
  <c r="N241" i="2"/>
  <c r="N249" i="2"/>
  <c r="N257" i="2"/>
  <c r="N265" i="2"/>
  <c r="N273" i="2"/>
  <c r="N281" i="2"/>
  <c r="N289" i="2"/>
  <c r="N297" i="2"/>
  <c r="Z301" i="2"/>
  <c r="N301" i="2"/>
  <c r="N304" i="2"/>
  <c r="N324" i="2"/>
  <c r="Z206" i="2"/>
  <c r="N206" i="2"/>
  <c r="Z214" i="2"/>
  <c r="N214" i="2"/>
  <c r="Z50" i="2"/>
  <c r="N50" i="2"/>
  <c r="Z95" i="2"/>
  <c r="N95" i="2"/>
  <c r="Z15" i="2"/>
  <c r="N15" i="2"/>
  <c r="Z24" i="2"/>
  <c r="N24" i="2"/>
  <c r="N44" i="2"/>
  <c r="N54" i="2"/>
  <c r="N63" i="2"/>
  <c r="N73" i="2"/>
  <c r="N82" i="2"/>
  <c r="N90" i="2"/>
  <c r="N98" i="2"/>
  <c r="N106" i="2"/>
  <c r="N114" i="2"/>
  <c r="N122" i="2"/>
  <c r="N123" i="2"/>
  <c r="N124" i="2"/>
  <c r="N132" i="2"/>
  <c r="N140" i="2"/>
  <c r="N148" i="2"/>
  <c r="N157" i="2"/>
  <c r="N184" i="2"/>
  <c r="N185" i="2"/>
  <c r="Z194" i="2"/>
  <c r="N194" i="2"/>
  <c r="Z202" i="2"/>
  <c r="N202" i="2"/>
  <c r="Z210" i="2"/>
  <c r="N210" i="2"/>
  <c r="Z218" i="2"/>
  <c r="N218" i="2"/>
  <c r="Z226" i="2"/>
  <c r="N226" i="2"/>
  <c r="Z234" i="2"/>
  <c r="N234" i="2"/>
  <c r="Z242" i="2"/>
  <c r="N242" i="2"/>
  <c r="Z250" i="2"/>
  <c r="N250" i="2"/>
  <c r="Z258" i="2"/>
  <c r="N258" i="2"/>
  <c r="Z266" i="2"/>
  <c r="N266" i="2"/>
  <c r="Z274" i="2"/>
  <c r="N274" i="2"/>
  <c r="Z282" i="2"/>
  <c r="N282" i="2"/>
  <c r="Z290" i="2"/>
  <c r="N290" i="2"/>
  <c r="Z298" i="2"/>
  <c r="N298" i="2"/>
  <c r="Z299" i="2"/>
  <c r="N299" i="2"/>
  <c r="Z198" i="2"/>
  <c r="N198" i="2"/>
  <c r="Z246" i="2"/>
  <c r="N246" i="2"/>
  <c r="Z79" i="2"/>
  <c r="N79" i="2"/>
  <c r="Z103" i="2"/>
  <c r="N103" i="2"/>
  <c r="Z111" i="2"/>
  <c r="N111" i="2"/>
  <c r="Z145" i="2"/>
  <c r="N145" i="2"/>
  <c r="N14" i="2"/>
  <c r="N23" i="2"/>
  <c r="N45" i="2"/>
  <c r="N55" i="2"/>
  <c r="N64" i="2"/>
  <c r="N74" i="2"/>
  <c r="N83" i="2"/>
  <c r="N91" i="2"/>
  <c r="N99" i="2"/>
  <c r="N107" i="2"/>
  <c r="N115" i="2"/>
  <c r="N125" i="2"/>
  <c r="N133" i="2"/>
  <c r="N141" i="2"/>
  <c r="N149" i="2"/>
  <c r="N158" i="2"/>
  <c r="N186" i="2"/>
  <c r="N195" i="2"/>
  <c r="N203" i="2"/>
  <c r="N211" i="2"/>
  <c r="N219" i="2"/>
  <c r="N227" i="2"/>
  <c r="N235" i="2"/>
  <c r="N243" i="2"/>
  <c r="N251" i="2"/>
  <c r="N259" i="2"/>
  <c r="N267" i="2"/>
  <c r="N275" i="2"/>
  <c r="N283" i="2"/>
  <c r="N291" i="2"/>
  <c r="N323" i="2"/>
  <c r="N326" i="2"/>
  <c r="Z230" i="2"/>
  <c r="N230" i="2"/>
  <c r="Z270" i="2"/>
  <c r="N270" i="2"/>
  <c r="N13" i="2"/>
  <c r="N21" i="2"/>
  <c r="N22" i="2"/>
  <c r="N56" i="2"/>
  <c r="N65" i="2"/>
  <c r="N84" i="2"/>
  <c r="N92" i="2"/>
  <c r="N100" i="2"/>
  <c r="N108" i="2"/>
  <c r="N116" i="2"/>
  <c r="N126" i="2"/>
  <c r="N134" i="2"/>
  <c r="N142" i="2"/>
  <c r="N150" i="2"/>
  <c r="N159" i="2"/>
  <c r="N187" i="2"/>
  <c r="N196" i="2"/>
  <c r="N204" i="2"/>
  <c r="N212" i="2"/>
  <c r="N220" i="2"/>
  <c r="N228" i="2"/>
  <c r="N236" i="2"/>
  <c r="N244" i="2"/>
  <c r="N252" i="2"/>
  <c r="N260" i="2"/>
  <c r="N268" i="2"/>
  <c r="N276" i="2"/>
  <c r="N284" i="2"/>
  <c r="N292" i="2"/>
  <c r="N303" i="2"/>
  <c r="Z129" i="2"/>
  <c r="N129" i="2"/>
  <c r="Z137" i="2"/>
  <c r="N137" i="2"/>
  <c r="N12" i="2"/>
  <c r="N20" i="2"/>
  <c r="N48" i="2"/>
  <c r="N57" i="2"/>
  <c r="N66" i="2"/>
  <c r="N76" i="2"/>
  <c r="N85" i="2"/>
  <c r="N93" i="2"/>
  <c r="N101" i="2"/>
  <c r="N109" i="2"/>
  <c r="N117" i="2"/>
  <c r="N127" i="2"/>
  <c r="N135" i="2"/>
  <c r="N143" i="2"/>
  <c r="N151" i="2"/>
  <c r="N160" i="2"/>
  <c r="N188" i="2"/>
  <c r="N189" i="2"/>
  <c r="N190" i="2"/>
  <c r="N197" i="2"/>
  <c r="N205" i="2"/>
  <c r="N213" i="2"/>
  <c r="N221" i="2"/>
  <c r="Z229" i="2"/>
  <c r="N229" i="2"/>
  <c r="N237" i="2"/>
  <c r="N245" i="2"/>
  <c r="N253" i="2"/>
  <c r="N261" i="2"/>
  <c r="N269" i="2"/>
  <c r="N277" i="2"/>
  <c r="N285" i="2"/>
  <c r="N293" i="2"/>
  <c r="N322" i="2"/>
  <c r="Z200" i="2"/>
  <c r="Z9" i="2"/>
  <c r="Z18" i="2"/>
  <c r="Z191" i="2"/>
  <c r="Z199" i="2"/>
  <c r="Z207" i="2"/>
  <c r="Z215" i="2"/>
  <c r="Z223" i="2"/>
  <c r="Z231" i="2"/>
  <c r="Z239" i="2"/>
  <c r="Z247" i="2"/>
  <c r="Z255" i="2"/>
  <c r="Z263" i="2"/>
  <c r="Z271" i="2"/>
  <c r="Z279" i="2"/>
  <c r="Z287" i="2"/>
  <c r="Z295" i="2"/>
  <c r="Z253" i="2"/>
  <c r="Z139" i="2"/>
  <c r="Z147" i="2"/>
  <c r="Z156" i="2"/>
  <c r="Z179" i="2"/>
  <c r="Z180" i="2"/>
  <c r="Z181" i="2"/>
  <c r="Z16" i="2"/>
  <c r="Z254" i="2"/>
  <c r="Z262" i="2"/>
  <c r="Z286" i="2"/>
  <c r="Z294" i="2"/>
  <c r="Z201" i="2"/>
  <c r="Z209" i="2"/>
  <c r="Z225" i="2"/>
  <c r="Z241" i="2"/>
  <c r="Z249" i="2"/>
  <c r="Z257" i="2"/>
  <c r="Z265" i="2"/>
  <c r="Z273" i="2"/>
  <c r="Z281" i="2"/>
  <c r="Z289" i="2"/>
  <c r="Z297" i="2"/>
  <c r="Z8" i="2"/>
  <c r="Z17" i="2"/>
  <c r="Z51" i="2"/>
  <c r="Z60" i="2"/>
  <c r="Z70" i="2"/>
  <c r="Z71" i="2"/>
  <c r="Z80" i="2"/>
  <c r="Z88" i="2"/>
  <c r="Z96" i="2"/>
  <c r="Z104" i="2"/>
  <c r="Z112" i="2"/>
  <c r="Z120" i="2"/>
  <c r="Z130" i="2"/>
  <c r="Z138" i="2"/>
  <c r="Z146" i="2"/>
  <c r="Z154" i="2"/>
  <c r="Z155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76" i="2"/>
  <c r="Z85" i="2"/>
  <c r="Z135" i="2"/>
  <c r="Z143" i="2"/>
  <c r="Z213" i="2"/>
  <c r="Z221" i="2"/>
  <c r="Z237" i="2"/>
  <c r="Z245" i="2"/>
  <c r="Z261" i="2"/>
  <c r="Z269" i="2"/>
  <c r="Z277" i="2"/>
  <c r="Z285" i="2"/>
  <c r="Z10" i="2"/>
  <c r="Z11" i="2"/>
  <c r="Z19" i="2"/>
  <c r="Z49" i="2"/>
  <c r="Z58" i="2"/>
  <c r="Z67" i="2"/>
  <c r="Z78" i="2"/>
  <c r="Z86" i="2"/>
  <c r="Z94" i="2"/>
  <c r="Z102" i="2"/>
  <c r="Z110" i="2"/>
  <c r="Z118" i="2"/>
  <c r="Z128" i="2"/>
  <c r="Z136" i="2"/>
  <c r="Z144" i="2"/>
  <c r="Z152" i="2"/>
  <c r="Z161" i="2"/>
  <c r="Z21" i="2"/>
  <c r="Z56" i="2"/>
  <c r="Z75" i="2"/>
  <c r="Z84" i="2"/>
  <c r="Z92" i="2"/>
  <c r="Z100" i="2"/>
  <c r="Z108" i="2"/>
  <c r="Z187" i="2"/>
  <c r="Z12" i="2"/>
  <c r="Z20" i="2"/>
  <c r="Z188" i="2"/>
  <c r="Z182" i="2"/>
  <c r="Z193" i="2"/>
  <c r="Z217" i="2"/>
  <c r="Z233" i="2"/>
  <c r="Z65" i="2"/>
  <c r="Z48" i="2"/>
  <c r="Z93" i="2"/>
  <c r="Z101" i="2"/>
  <c r="Z109" i="2"/>
  <c r="Z117" i="2"/>
  <c r="Z127" i="2"/>
  <c r="Z189" i="2"/>
  <c r="Z216" i="2"/>
  <c r="Z224" i="2"/>
  <c r="Z232" i="2"/>
  <c r="Z240" i="2"/>
  <c r="Z248" i="2"/>
  <c r="Z256" i="2"/>
  <c r="Z264" i="2"/>
  <c r="Z272" i="2"/>
  <c r="Z280" i="2"/>
  <c r="Z288" i="2"/>
  <c r="Z32" i="2"/>
  <c r="Z37" i="2"/>
  <c r="Z131" i="2"/>
  <c r="Z183" i="2"/>
  <c r="Z44" i="2"/>
  <c r="Z54" i="2"/>
  <c r="Z63" i="2"/>
  <c r="Z73" i="2"/>
  <c r="Z82" i="2"/>
  <c r="Z90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4" i="2"/>
  <c r="Z23" i="2"/>
  <c r="Z45" i="2"/>
  <c r="Z55" i="2"/>
  <c r="Z64" i="2"/>
  <c r="Z74" i="2"/>
  <c r="Z83" i="2"/>
  <c r="Z91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13" i="2"/>
  <c r="Z22" i="2"/>
  <c r="Z116" i="2"/>
  <c r="Z126" i="2"/>
  <c r="Z134" i="2"/>
  <c r="Z142" i="2"/>
  <c r="Z150" i="2"/>
  <c r="Z159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57" i="2"/>
  <c r="Z66" i="2"/>
  <c r="Z151" i="2"/>
  <c r="Z160" i="2"/>
  <c r="Z190" i="2"/>
  <c r="Z197" i="2"/>
  <c r="Z205" i="2"/>
  <c r="Z293" i="2"/>
  <c r="AF46" i="2"/>
  <c r="R47" i="2"/>
  <c r="S47" i="2" s="1"/>
  <c r="N300" i="2"/>
  <c r="D5" i="1"/>
  <c r="E5" i="1" s="1"/>
  <c r="I23" i="3"/>
  <c r="V23" i="3" s="1"/>
  <c r="I28" i="3"/>
  <c r="Q46" i="2"/>
  <c r="N46" i="2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N306" i="2" s="1"/>
  <c r="S10" i="2"/>
  <c r="M10" i="2" s="1"/>
  <c r="C10" i="4"/>
  <c r="Q47" i="2"/>
  <c r="S326" i="2"/>
  <c r="S325" i="2"/>
  <c r="S324" i="2"/>
  <c r="S319" i="2"/>
  <c r="S315" i="2"/>
  <c r="S311" i="2"/>
  <c r="S307" i="2"/>
  <c r="S304" i="2"/>
  <c r="M304" i="2" s="1"/>
  <c r="S320" i="2"/>
  <c r="S316" i="2"/>
  <c r="S318" i="2"/>
  <c r="S314" i="2"/>
  <c r="S310" i="2"/>
  <c r="S306" i="2"/>
  <c r="S303" i="2"/>
  <c r="M303" i="2" s="1"/>
  <c r="S298" i="2"/>
  <c r="M298" i="2" s="1"/>
  <c r="S322" i="2"/>
  <c r="S321" i="2"/>
  <c r="S317" i="2"/>
  <c r="S302" i="2"/>
  <c r="S313" i="2"/>
  <c r="S308" i="2"/>
  <c r="S297" i="2"/>
  <c r="M297" i="2" s="1"/>
  <c r="S294" i="2"/>
  <c r="M294" i="2" s="1"/>
  <c r="S286" i="2"/>
  <c r="M286" i="2" s="1"/>
  <c r="S278" i="2"/>
  <c r="M278" i="2" s="1"/>
  <c r="S309" i="2"/>
  <c r="S301" i="2"/>
  <c r="S323" i="2"/>
  <c r="S312" i="2"/>
  <c r="S300" i="2"/>
  <c r="S290" i="2"/>
  <c r="M290" i="2" s="1"/>
  <c r="S283" i="2"/>
  <c r="M283" i="2" s="1"/>
  <c r="S305" i="2"/>
  <c r="S274" i="2"/>
  <c r="M274" i="2" s="1"/>
  <c r="S266" i="2"/>
  <c r="M266" i="2" s="1"/>
  <c r="S291" i="2"/>
  <c r="M291" i="2" s="1"/>
  <c r="S269" i="2"/>
  <c r="M269" i="2" s="1"/>
  <c r="S261" i="2"/>
  <c r="M261" i="2" s="1"/>
  <c r="S295" i="2"/>
  <c r="M295" i="2" s="1"/>
  <c r="S253" i="2"/>
  <c r="M253" i="2" s="1"/>
  <c r="S245" i="2"/>
  <c r="M245" i="2" s="1"/>
  <c r="S260" i="2"/>
  <c r="M260" i="2" s="1"/>
  <c r="S240" i="2"/>
  <c r="M240" i="2" s="1"/>
  <c r="S275" i="2"/>
  <c r="M275" i="2" s="1"/>
  <c r="S282" i="2"/>
  <c r="M282" i="2" s="1"/>
  <c r="S255" i="2"/>
  <c r="M255" i="2" s="1"/>
  <c r="S247" i="2"/>
  <c r="M247" i="2" s="1"/>
  <c r="S219" i="2"/>
  <c r="M219" i="2" s="1"/>
  <c r="S268" i="2"/>
  <c r="M268" i="2" s="1"/>
  <c r="S252" i="2"/>
  <c r="M252" i="2" s="1"/>
  <c r="S244" i="2"/>
  <c r="M244" i="2" s="1"/>
  <c r="S233" i="2"/>
  <c r="M233" i="2" s="1"/>
  <c r="S225" i="2"/>
  <c r="M225" i="2" s="1"/>
  <c r="S236" i="2"/>
  <c r="M236" i="2" s="1"/>
  <c r="S226" i="2"/>
  <c r="M226" i="2" s="1"/>
  <c r="S232" i="2"/>
  <c r="M232" i="2" s="1"/>
  <c r="S211" i="2"/>
  <c r="M211" i="2" s="1"/>
  <c r="S224" i="2"/>
  <c r="M224" i="2" s="1"/>
  <c r="S206" i="2"/>
  <c r="M206" i="2" s="1"/>
  <c r="S209" i="2"/>
  <c r="M209" i="2" s="1"/>
  <c r="S201" i="2"/>
  <c r="M201" i="2" s="1"/>
  <c r="S212" i="2"/>
  <c r="M212" i="2" s="1"/>
  <c r="S204" i="2"/>
  <c r="M204" i="2" s="1"/>
  <c r="S217" i="2"/>
  <c r="M217" i="2" s="1"/>
  <c r="S213" i="2"/>
  <c r="M213" i="2" s="1"/>
  <c r="S205" i="2"/>
  <c r="M205" i="2" s="1"/>
  <c r="S193" i="2"/>
  <c r="M193" i="2" s="1"/>
  <c r="S189" i="2"/>
  <c r="M189" i="2" s="1"/>
  <c r="S170" i="2"/>
  <c r="M170" i="2" s="1"/>
  <c r="S166" i="2"/>
  <c r="M166" i="2" s="1"/>
  <c r="S159" i="2"/>
  <c r="M159" i="2" s="1"/>
  <c r="S151" i="2"/>
  <c r="M151" i="2" s="1"/>
  <c r="S145" i="2"/>
  <c r="M145" i="2" s="1"/>
  <c r="S210" i="2"/>
  <c r="M210" i="2" s="1"/>
  <c r="S198" i="2"/>
  <c r="M198" i="2" s="1"/>
  <c r="S191" i="2"/>
  <c r="M191" i="2" s="1"/>
  <c r="S188" i="2"/>
  <c r="M188" i="2" s="1"/>
  <c r="S169" i="2"/>
  <c r="M169" i="2" s="1"/>
  <c r="S153" i="2"/>
  <c r="M153" i="2" s="1"/>
  <c r="S139" i="2"/>
  <c r="M139" i="2" s="1"/>
  <c r="S196" i="2"/>
  <c r="M196" i="2" s="1"/>
  <c r="S174" i="2"/>
  <c r="M174" i="2" s="1"/>
  <c r="S165" i="2"/>
  <c r="M165" i="2" s="1"/>
  <c r="S158" i="2"/>
  <c r="M158" i="2" s="1"/>
  <c r="S150" i="2"/>
  <c r="M150" i="2" s="1"/>
  <c r="S147" i="2"/>
  <c r="M147" i="2" s="1"/>
  <c r="S144" i="2"/>
  <c r="M144" i="2" s="1"/>
  <c r="S202" i="2"/>
  <c r="M202" i="2" s="1"/>
  <c r="S164" i="2"/>
  <c r="M164" i="2" s="1"/>
  <c r="S140" i="2"/>
  <c r="M140" i="2" s="1"/>
  <c r="S115" i="2"/>
  <c r="M115" i="2" s="1"/>
  <c r="S113" i="2"/>
  <c r="M113" i="2" s="1"/>
  <c r="S107" i="2"/>
  <c r="M107" i="2" s="1"/>
  <c r="S103" i="2"/>
  <c r="M103" i="2" s="1"/>
  <c r="S195" i="2"/>
  <c r="M195" i="2" s="1"/>
  <c r="S182" i="2"/>
  <c r="M182" i="2" s="1"/>
  <c r="S167" i="2"/>
  <c r="M167" i="2" s="1"/>
  <c r="S119" i="2"/>
  <c r="M119" i="2" s="1"/>
  <c r="S110" i="2"/>
  <c r="M110" i="2" s="1"/>
  <c r="S106" i="2"/>
  <c r="M106" i="2" s="1"/>
  <c r="S185" i="2"/>
  <c r="M185" i="2" s="1"/>
  <c r="S162" i="2"/>
  <c r="M162" i="2" s="1"/>
  <c r="S118" i="2"/>
  <c r="M118" i="2" s="1"/>
  <c r="S171" i="2"/>
  <c r="M171" i="2" s="1"/>
  <c r="S157" i="2"/>
  <c r="M157" i="2" s="1"/>
  <c r="S130" i="2"/>
  <c r="M130" i="2" s="1"/>
  <c r="S108" i="2"/>
  <c r="M108" i="2" s="1"/>
  <c r="S104" i="2"/>
  <c r="M104" i="2" s="1"/>
  <c r="S149" i="2"/>
  <c r="M149" i="2" s="1"/>
  <c r="S143" i="2"/>
  <c r="M143" i="2" s="1"/>
  <c r="S120" i="2"/>
  <c r="M120" i="2" s="1"/>
  <c r="S63" i="2"/>
  <c r="M63" i="2" s="1"/>
  <c r="S55" i="2"/>
  <c r="M55" i="2" s="1"/>
  <c r="S52" i="2"/>
  <c r="M52" i="2" s="1"/>
  <c r="S43" i="2"/>
  <c r="M43" i="2" s="1"/>
  <c r="S39" i="2"/>
  <c r="M39" i="2" s="1"/>
  <c r="S32" i="2"/>
  <c r="M32" i="2" s="1"/>
  <c r="S28" i="2"/>
  <c r="M28" i="2" s="1"/>
  <c r="S22" i="2"/>
  <c r="M22" i="2" s="1"/>
  <c r="S93" i="2"/>
  <c r="M93" i="2" s="1"/>
  <c r="S91" i="2"/>
  <c r="M91" i="2" s="1"/>
  <c r="S78" i="2"/>
  <c r="M78" i="2" s="1"/>
  <c r="S71" i="2"/>
  <c r="M71" i="2" s="1"/>
  <c r="S102" i="2"/>
  <c r="M102" i="2" s="1"/>
  <c r="S57" i="2"/>
  <c r="M57" i="2" s="1"/>
  <c r="S42" i="2"/>
  <c r="M42" i="2" s="1"/>
  <c r="S38" i="2"/>
  <c r="M38" i="2" s="1"/>
  <c r="S31" i="2"/>
  <c r="M31" i="2" s="1"/>
  <c r="S27" i="2"/>
  <c r="M27" i="2" s="1"/>
  <c r="S24" i="2"/>
  <c r="M24" i="2" s="1"/>
  <c r="S77" i="2"/>
  <c r="M77" i="2" s="1"/>
  <c r="S76" i="2"/>
  <c r="M76" i="2" s="1"/>
  <c r="S73" i="2"/>
  <c r="M73" i="2" s="1"/>
  <c r="S70" i="2"/>
  <c r="M70" i="2" s="1"/>
  <c r="S67" i="2"/>
  <c r="M67" i="2" s="1"/>
  <c r="S59" i="2"/>
  <c r="M59" i="2" s="1"/>
  <c r="S48" i="2"/>
  <c r="M48" i="2" s="1"/>
  <c r="S46" i="2"/>
  <c r="S41" i="2"/>
  <c r="M41" i="2" s="1"/>
  <c r="S30" i="2"/>
  <c r="M30" i="2" s="1"/>
  <c r="S26" i="2"/>
  <c r="M26" i="2" s="1"/>
  <c r="S23" i="2"/>
  <c r="M23" i="2" s="1"/>
  <c r="S20" i="2"/>
  <c r="M20" i="2" s="1"/>
  <c r="S100" i="2"/>
  <c r="M100" i="2" s="1"/>
  <c r="S97" i="2"/>
  <c r="M97" i="2" s="1"/>
  <c r="S94" i="2"/>
  <c r="M94" i="2" s="1"/>
  <c r="S82" i="2"/>
  <c r="M82" i="2" s="1"/>
  <c r="S79" i="2"/>
  <c r="M79" i="2" s="1"/>
  <c r="S61" i="2"/>
  <c r="M61" i="2" s="1"/>
  <c r="S53" i="2"/>
  <c r="M53" i="2" s="1"/>
  <c r="S50" i="2"/>
  <c r="M50" i="2" s="1"/>
  <c r="S44" i="2"/>
  <c r="M44" i="2" s="1"/>
  <c r="S40" i="2"/>
  <c r="M40" i="2" s="1"/>
  <c r="S29" i="2"/>
  <c r="M29" i="2" s="1"/>
  <c r="S25" i="2"/>
  <c r="M25" i="2" s="1"/>
  <c r="S16" i="2"/>
  <c r="M16" i="2" s="1"/>
  <c r="S84" i="2"/>
  <c r="M84" i="2" s="1"/>
  <c r="M15" i="1"/>
  <c r="A1" i="2" s="1"/>
  <c r="C26" i="4"/>
  <c r="AF296" i="2"/>
  <c r="AF294" i="2"/>
  <c r="AF293" i="2"/>
  <c r="AF295" i="2"/>
  <c r="AF291" i="2"/>
  <c r="AF283" i="2"/>
  <c r="AF289" i="2"/>
  <c r="AF281" i="2"/>
  <c r="AF284" i="2"/>
  <c r="AF276" i="2"/>
  <c r="AF298" i="2"/>
  <c r="AF297" i="2"/>
  <c r="AF292" i="2"/>
  <c r="AF287" i="2"/>
  <c r="AF279" i="2"/>
  <c r="AF288" i="2"/>
  <c r="AF280" i="2"/>
  <c r="AF282" i="2"/>
  <c r="AF274" i="2"/>
  <c r="AF266" i="2"/>
  <c r="AF258" i="2"/>
  <c r="AF269" i="2"/>
  <c r="AF290" i="2"/>
  <c r="AF285" i="2"/>
  <c r="AF277" i="2"/>
  <c r="AF272" i="2"/>
  <c r="AF264" i="2"/>
  <c r="AF299" i="2"/>
  <c r="AF267" i="2"/>
  <c r="AF259" i="2"/>
  <c r="AF278" i="2"/>
  <c r="AF270" i="2"/>
  <c r="AF262" i="2"/>
  <c r="AF273" i="2"/>
  <c r="AF265" i="2"/>
  <c r="AF286" i="2"/>
  <c r="AF268" i="2"/>
  <c r="AF253" i="2"/>
  <c r="AF245" i="2"/>
  <c r="AF256" i="2"/>
  <c r="AF248" i="2"/>
  <c r="AF240" i="2"/>
  <c r="AF251" i="2"/>
  <c r="AF243" i="2"/>
  <c r="AF254" i="2"/>
  <c r="AF246" i="2"/>
  <c r="AF238" i="2"/>
  <c r="AF271" i="2"/>
  <c r="AF263" i="2"/>
  <c r="AF260" i="2"/>
  <c r="AF257" i="2"/>
  <c r="AF249" i="2"/>
  <c r="AF241" i="2"/>
  <c r="AF250" i="2"/>
  <c r="AF242" i="2"/>
  <c r="AF275" i="2"/>
  <c r="AF255" i="2"/>
  <c r="AF247" i="2"/>
  <c r="AF239" i="2"/>
  <c r="AF230" i="2"/>
  <c r="AF222" i="2"/>
  <c r="AF233" i="2"/>
  <c r="AF225" i="2"/>
  <c r="AF217" i="2"/>
  <c r="AF236" i="2"/>
  <c r="AF228" i="2"/>
  <c r="AF261" i="2"/>
  <c r="AF231" i="2"/>
  <c r="AF223" i="2"/>
  <c r="AF252" i="2"/>
  <c r="AF244" i="2"/>
  <c r="AF234" i="2"/>
  <c r="AF226" i="2"/>
  <c r="AF218" i="2"/>
  <c r="AF237" i="2"/>
  <c r="AF229" i="2"/>
  <c r="AF221" i="2"/>
  <c r="AF232" i="2"/>
  <c r="AF224" i="2"/>
  <c r="AF235" i="2"/>
  <c r="AF211" i="2"/>
  <c r="AF203" i="2"/>
  <c r="AF227" i="2"/>
  <c r="AF214" i="2"/>
  <c r="AF206" i="2"/>
  <c r="AF198" i="2"/>
  <c r="AF209" i="2"/>
  <c r="AF201" i="2"/>
  <c r="AF220" i="2"/>
  <c r="AF212" i="2"/>
  <c r="AF204" i="2"/>
  <c r="AF215" i="2"/>
  <c r="AF207" i="2"/>
  <c r="AF199" i="2"/>
  <c r="AF219" i="2"/>
  <c r="AF210" i="2"/>
  <c r="AF202" i="2"/>
  <c r="AF216" i="2"/>
  <c r="AF208" i="2"/>
  <c r="AF200" i="2"/>
  <c r="AF197" i="2"/>
  <c r="AF191" i="2"/>
  <c r="AF194" i="2"/>
  <c r="AF205" i="2"/>
  <c r="AF192" i="2"/>
  <c r="AF195" i="2"/>
  <c r="AF213" i="2"/>
  <c r="AF193" i="2"/>
  <c r="AF196" i="2"/>
  <c r="S8" i="2"/>
  <c r="M8" i="2" s="1"/>
  <c r="S11" i="2"/>
  <c r="M11" i="2" s="1"/>
  <c r="S62" i="2"/>
  <c r="M62" i="2" s="1"/>
  <c r="S64" i="2"/>
  <c r="M64" i="2" s="1"/>
  <c r="S89" i="2"/>
  <c r="M89" i="2" s="1"/>
  <c r="S14" i="2"/>
  <c r="M14" i="2" s="1"/>
  <c r="S21" i="2"/>
  <c r="M21" i="2" s="1"/>
  <c r="S35" i="2"/>
  <c r="M35" i="2" s="1"/>
  <c r="S87" i="2"/>
  <c r="M87" i="2" s="1"/>
  <c r="S92" i="2"/>
  <c r="M92" i="2" s="1"/>
  <c r="S17" i="2"/>
  <c r="M17" i="2" s="1"/>
  <c r="S45" i="2"/>
  <c r="M45" i="2" s="1"/>
  <c r="S60" i="2"/>
  <c r="M60" i="2" s="1"/>
  <c r="S85" i="2"/>
  <c r="M85" i="2" s="1"/>
  <c r="S9" i="2"/>
  <c r="M9" i="2" s="1"/>
  <c r="S12" i="2"/>
  <c r="M12" i="2" s="1"/>
  <c r="S36" i="2"/>
  <c r="M36" i="2" s="1"/>
  <c r="S51" i="2"/>
  <c r="M51" i="2" s="1"/>
  <c r="S65" i="2"/>
  <c r="M65" i="2" s="1"/>
  <c r="S68" i="2"/>
  <c r="M68" i="2" s="1"/>
  <c r="S74" i="2"/>
  <c r="M74" i="2" s="1"/>
  <c r="S80" i="2"/>
  <c r="M80" i="2" s="1"/>
  <c r="S90" i="2"/>
  <c r="M90" i="2" s="1"/>
  <c r="S95" i="2"/>
  <c r="M95" i="2" s="1"/>
  <c r="S98" i="2"/>
  <c r="M98" i="2" s="1"/>
  <c r="S15" i="2"/>
  <c r="M15" i="2" s="1"/>
  <c r="S33" i="2"/>
  <c r="M33" i="2" s="1"/>
  <c r="S58" i="2"/>
  <c r="M58" i="2" s="1"/>
  <c r="S83" i="2"/>
  <c r="M83" i="2" s="1"/>
  <c r="S88" i="2"/>
  <c r="M88" i="2" s="1"/>
  <c r="C28" i="4"/>
  <c r="S18" i="2"/>
  <c r="M18" i="2" s="1"/>
  <c r="S37" i="2"/>
  <c r="M37" i="2" s="1"/>
  <c r="S49" i="2"/>
  <c r="M49" i="2" s="1"/>
  <c r="S54" i="2"/>
  <c r="M54" i="2" s="1"/>
  <c r="S56" i="2"/>
  <c r="M56" i="2" s="1"/>
  <c r="S86" i="2"/>
  <c r="M86" i="2" s="1"/>
  <c r="S96" i="2"/>
  <c r="M96" i="2" s="1"/>
  <c r="S13" i="2"/>
  <c r="M13" i="2" s="1"/>
  <c r="S19" i="2"/>
  <c r="M19" i="2" s="1"/>
  <c r="S34" i="2"/>
  <c r="M34" i="2" s="1"/>
  <c r="S66" i="2"/>
  <c r="M66" i="2" s="1"/>
  <c r="S69" i="2"/>
  <c r="M69" i="2" s="1"/>
  <c r="S72" i="2"/>
  <c r="M72" i="2" s="1"/>
  <c r="S75" i="2"/>
  <c r="M75" i="2" s="1"/>
  <c r="S81" i="2"/>
  <c r="M81" i="2" s="1"/>
  <c r="S101" i="2"/>
  <c r="M101" i="2" s="1"/>
  <c r="S122" i="2"/>
  <c r="M122" i="2" s="1"/>
  <c r="S127" i="2"/>
  <c r="M127" i="2" s="1"/>
  <c r="S125" i="2"/>
  <c r="M125" i="2" s="1"/>
  <c r="S99" i="2"/>
  <c r="M99" i="2" s="1"/>
  <c r="S111" i="2"/>
  <c r="M111" i="2" s="1"/>
  <c r="S123" i="2"/>
  <c r="M123" i="2" s="1"/>
  <c r="S116" i="2"/>
  <c r="M116" i="2" s="1"/>
  <c r="S126" i="2"/>
  <c r="M126" i="2" s="1"/>
  <c r="S105" i="2"/>
  <c r="M105" i="2" s="1"/>
  <c r="S109" i="2"/>
  <c r="M109" i="2" s="1"/>
  <c r="S114" i="2"/>
  <c r="M114" i="2" s="1"/>
  <c r="S121" i="2"/>
  <c r="M121" i="2" s="1"/>
  <c r="S112" i="2"/>
  <c r="M112" i="2" s="1"/>
  <c r="S124" i="2"/>
  <c r="M124" i="2" s="1"/>
  <c r="S117" i="2"/>
  <c r="M117" i="2" s="1"/>
  <c r="S132" i="2"/>
  <c r="M132" i="2" s="1"/>
  <c r="S146" i="2"/>
  <c r="M146" i="2" s="1"/>
  <c r="S152" i="2"/>
  <c r="M152" i="2" s="1"/>
  <c r="S181" i="2"/>
  <c r="M181" i="2" s="1"/>
  <c r="S131" i="2"/>
  <c r="M131" i="2" s="1"/>
  <c r="S138" i="2"/>
  <c r="M138" i="2" s="1"/>
  <c r="S178" i="2"/>
  <c r="M178" i="2" s="1"/>
  <c r="S187" i="2"/>
  <c r="M187" i="2" s="1"/>
  <c r="S192" i="2"/>
  <c r="M192" i="2" s="1"/>
  <c r="S160" i="2"/>
  <c r="M160" i="2" s="1"/>
  <c r="S163" i="2"/>
  <c r="M163" i="2" s="1"/>
  <c r="S173" i="2"/>
  <c r="M173" i="2" s="1"/>
  <c r="S184" i="2"/>
  <c r="M184" i="2" s="1"/>
  <c r="S199" i="2"/>
  <c r="M199" i="2" s="1"/>
  <c r="S134" i="2"/>
  <c r="M134" i="2" s="1"/>
  <c r="S136" i="2"/>
  <c r="M136" i="2" s="1"/>
  <c r="S142" i="2"/>
  <c r="M142" i="2" s="1"/>
  <c r="S148" i="2"/>
  <c r="M148" i="2" s="1"/>
  <c r="S172" i="2"/>
  <c r="M172" i="2" s="1"/>
  <c r="S180" i="2"/>
  <c r="M180" i="2" s="1"/>
  <c r="S183" i="2"/>
  <c r="M183" i="2" s="1"/>
  <c r="S194" i="2"/>
  <c r="M194" i="2" s="1"/>
  <c r="S129" i="2"/>
  <c r="M129" i="2" s="1"/>
  <c r="S154" i="2"/>
  <c r="M154" i="2" s="1"/>
  <c r="S156" i="2"/>
  <c r="M156" i="2" s="1"/>
  <c r="S175" i="2"/>
  <c r="M175" i="2" s="1"/>
  <c r="S128" i="2"/>
  <c r="M128" i="2" s="1"/>
  <c r="S133" i="2"/>
  <c r="M133" i="2" s="1"/>
  <c r="S197" i="2"/>
  <c r="M197" i="2" s="1"/>
  <c r="S135" i="2"/>
  <c r="M135" i="2" s="1"/>
  <c r="S137" i="2"/>
  <c r="M137" i="2" s="1"/>
  <c r="S141" i="2"/>
  <c r="M141" i="2" s="1"/>
  <c r="S177" i="2"/>
  <c r="M177" i="2" s="1"/>
  <c r="S190" i="2"/>
  <c r="M190" i="2" s="1"/>
  <c r="S155" i="2"/>
  <c r="M155" i="2" s="1"/>
  <c r="S161" i="2"/>
  <c r="M161" i="2" s="1"/>
  <c r="S168" i="2"/>
  <c r="M168" i="2" s="1"/>
  <c r="S176" i="2"/>
  <c r="M176" i="2" s="1"/>
  <c r="S179" i="2"/>
  <c r="M179" i="2" s="1"/>
  <c r="S186" i="2"/>
  <c r="M186" i="2" s="1"/>
  <c r="S200" i="2"/>
  <c r="M200" i="2" s="1"/>
  <c r="S216" i="2"/>
  <c r="M216" i="2" s="1"/>
  <c r="S207" i="2"/>
  <c r="M207" i="2" s="1"/>
  <c r="S214" i="2"/>
  <c r="M214" i="2" s="1"/>
  <c r="S203" i="2"/>
  <c r="M203" i="2" s="1"/>
  <c r="S208" i="2"/>
  <c r="M208" i="2" s="1"/>
  <c r="S215" i="2"/>
  <c r="M215" i="2" s="1"/>
  <c r="S218" i="2"/>
  <c r="M218" i="2" s="1"/>
  <c r="S221" i="2"/>
  <c r="M221" i="2" s="1"/>
  <c r="S227" i="2"/>
  <c r="M227" i="2" s="1"/>
  <c r="S228" i="2"/>
  <c r="M228" i="2" s="1"/>
  <c r="S234" i="2"/>
  <c r="M234" i="2" s="1"/>
  <c r="S287" i="2"/>
  <c r="M287" i="2" s="1"/>
  <c r="S223" i="2"/>
  <c r="M223" i="2" s="1"/>
  <c r="S229" i="2"/>
  <c r="M229" i="2" s="1"/>
  <c r="S235" i="2"/>
  <c r="M235" i="2" s="1"/>
  <c r="S222" i="2"/>
  <c r="M222" i="2" s="1"/>
  <c r="S231" i="2"/>
  <c r="M231" i="2" s="1"/>
  <c r="S237" i="2"/>
  <c r="M237" i="2" s="1"/>
  <c r="S241" i="2"/>
  <c r="M241" i="2" s="1"/>
  <c r="S249" i="2"/>
  <c r="M249" i="2" s="1"/>
  <c r="S257" i="2"/>
  <c r="M257" i="2" s="1"/>
  <c r="S230" i="2"/>
  <c r="M230" i="2" s="1"/>
  <c r="S238" i="2"/>
  <c r="M238" i="2" s="1"/>
  <c r="S220" i="2"/>
  <c r="M220" i="2" s="1"/>
  <c r="S262" i="2"/>
  <c r="M262" i="2" s="1"/>
  <c r="S243" i="2"/>
  <c r="M243" i="2" s="1"/>
  <c r="S251" i="2"/>
  <c r="M251" i="2" s="1"/>
  <c r="S239" i="2"/>
  <c r="M239" i="2" s="1"/>
  <c r="S248" i="2"/>
  <c r="M248" i="2" s="1"/>
  <c r="S256" i="2"/>
  <c r="M256" i="2" s="1"/>
  <c r="S258" i="2"/>
  <c r="M258" i="2" s="1"/>
  <c r="S276" i="2"/>
  <c r="M276" i="2" s="1"/>
  <c r="S259" i="2"/>
  <c r="M259" i="2" s="1"/>
  <c r="S273" i="2"/>
  <c r="M273" i="2" s="1"/>
  <c r="S242" i="2"/>
  <c r="M242" i="2" s="1"/>
  <c r="S246" i="2"/>
  <c r="M246" i="2" s="1"/>
  <c r="S250" i="2"/>
  <c r="M250" i="2" s="1"/>
  <c r="S254" i="2"/>
  <c r="M254" i="2" s="1"/>
  <c r="S270" i="2"/>
  <c r="M270" i="2" s="1"/>
  <c r="S265" i="2"/>
  <c r="M265" i="2" s="1"/>
  <c r="S284" i="2"/>
  <c r="M284" i="2" s="1"/>
  <c r="S299" i="2"/>
  <c r="M299" i="2" s="1"/>
  <c r="S267" i="2"/>
  <c r="M267" i="2" s="1"/>
  <c r="S285" i="2"/>
  <c r="M285" i="2" s="1"/>
  <c r="S263" i="2"/>
  <c r="M263" i="2" s="1"/>
  <c r="S264" i="2"/>
  <c r="M264" i="2" s="1"/>
  <c r="S271" i="2"/>
  <c r="M271" i="2" s="1"/>
  <c r="S272" i="2"/>
  <c r="M272" i="2" s="1"/>
  <c r="S277" i="2"/>
  <c r="M277" i="2" s="1"/>
  <c r="S279" i="2"/>
  <c r="M279" i="2" s="1"/>
  <c r="S288" i="2"/>
  <c r="M288" i="2" s="1"/>
  <c r="S289" i="2"/>
  <c r="M289" i="2" s="1"/>
  <c r="S296" i="2"/>
  <c r="M296" i="2" s="1"/>
  <c r="F307" i="2"/>
  <c r="N307" i="2" s="1"/>
  <c r="S280" i="2"/>
  <c r="M280" i="2" s="1"/>
  <c r="S281" i="2"/>
  <c r="M281" i="2" s="1"/>
  <c r="S293" i="2"/>
  <c r="M293" i="2" s="1"/>
  <c r="S292" i="2"/>
  <c r="M292" i="2" s="1"/>
  <c r="W27" i="3"/>
  <c r="V27" i="3"/>
  <c r="U27" i="3"/>
  <c r="T27" i="3"/>
  <c r="S27" i="3"/>
  <c r="Q27" i="3"/>
  <c r="R27" i="3"/>
  <c r="C18" i="3"/>
  <c r="G6" i="3"/>
  <c r="D6" i="3"/>
  <c r="V9" i="3"/>
  <c r="G14" i="3"/>
  <c r="D14" i="3"/>
  <c r="K4" i="4"/>
  <c r="I4" i="4"/>
  <c r="G4" i="4"/>
  <c r="W24" i="3"/>
  <c r="V24" i="3"/>
  <c r="U24" i="3"/>
  <c r="T24" i="3"/>
  <c r="S24" i="3"/>
  <c r="R24" i="3"/>
  <c r="E4" i="4"/>
  <c r="S28" i="3"/>
  <c r="R28" i="3"/>
  <c r="Q28" i="3"/>
  <c r="W28" i="3"/>
  <c r="V28" i="3"/>
  <c r="T28" i="3"/>
  <c r="R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N47" i="2" l="1"/>
  <c r="Z47" i="2"/>
  <c r="M307" i="2"/>
  <c r="Z46" i="2"/>
  <c r="M47" i="2"/>
  <c r="M46" i="2"/>
  <c r="M306" i="2"/>
  <c r="M302" i="2"/>
  <c r="AD302" i="2" s="1"/>
  <c r="AE302" i="2" s="1"/>
  <c r="AG302" i="2" s="1"/>
  <c r="AH302" i="2" s="1"/>
  <c r="M305" i="2"/>
  <c r="AD305" i="2" s="1"/>
  <c r="AE305" i="2" s="1"/>
  <c r="AG305" i="2" s="1"/>
  <c r="AH305" i="2" s="1"/>
  <c r="AD326" i="2"/>
  <c r="AE326" i="2" s="1"/>
  <c r="AG326" i="2" s="1"/>
  <c r="AH326" i="2" s="1"/>
  <c r="AD304" i="2"/>
  <c r="AE304" i="2" s="1"/>
  <c r="AG304" i="2" s="1"/>
  <c r="AH304" i="2" s="1"/>
  <c r="AD303" i="2"/>
  <c r="AE303" i="2" s="1"/>
  <c r="AG303" i="2" s="1"/>
  <c r="AH303" i="2" s="1"/>
  <c r="AD324" i="2"/>
  <c r="AE324" i="2" s="1"/>
  <c r="AG324" i="2" s="1"/>
  <c r="AH324" i="2" s="1"/>
  <c r="AD325" i="2"/>
  <c r="AE325" i="2" s="1"/>
  <c r="AG325" i="2" s="1"/>
  <c r="AH325" i="2" s="1"/>
  <c r="AD323" i="2"/>
  <c r="AE323" i="2" s="1"/>
  <c r="AG323" i="2" s="1"/>
  <c r="AH323" i="2" s="1"/>
  <c r="AD322" i="2"/>
  <c r="AE322" i="2" s="1"/>
  <c r="AG322" i="2" s="1"/>
  <c r="AH322" i="2" s="1"/>
  <c r="AD321" i="2"/>
  <c r="Q7" i="3"/>
  <c r="S7" i="3"/>
  <c r="U7" i="3"/>
  <c r="V7" i="3"/>
  <c r="W7" i="3"/>
  <c r="P90" i="2"/>
  <c r="P117" i="2"/>
  <c r="AD117" i="2" s="1"/>
  <c r="AE117" i="2" s="1"/>
  <c r="P121" i="2"/>
  <c r="AD121" i="2" s="1"/>
  <c r="P13" i="2"/>
  <c r="AD13" i="2" s="1"/>
  <c r="AE13" i="2" s="1"/>
  <c r="P142" i="2"/>
  <c r="P65" i="2"/>
  <c r="AD65" i="2" s="1"/>
  <c r="AE65" i="2" s="1"/>
  <c r="P164" i="2"/>
  <c r="AD164" i="2" s="1"/>
  <c r="P24" i="2"/>
  <c r="AD24" i="2" s="1"/>
  <c r="P171" i="2"/>
  <c r="AD171" i="2" s="1"/>
  <c r="AE171" i="2" s="1"/>
  <c r="P69" i="2"/>
  <c r="AD69" i="2" s="1"/>
  <c r="AE69" i="2" s="1"/>
  <c r="P44" i="2"/>
  <c r="AD44" i="2" s="1"/>
  <c r="AE44" i="2" s="1"/>
  <c r="P11" i="2"/>
  <c r="AD11" i="2" s="1"/>
  <c r="P34" i="2"/>
  <c r="P93" i="2"/>
  <c r="AD93" i="2" s="1"/>
  <c r="AE93" i="2" s="1"/>
  <c r="P58" i="2"/>
  <c r="P29" i="2"/>
  <c r="AD29" i="2" s="1"/>
  <c r="AE29" i="2" s="1"/>
  <c r="P73" i="2"/>
  <c r="AD73" i="2" s="1"/>
  <c r="AE73" i="2" s="1"/>
  <c r="P113" i="2"/>
  <c r="AD113" i="2" s="1"/>
  <c r="AE113" i="2" s="1"/>
  <c r="P114" i="2"/>
  <c r="AD114" i="2" s="1"/>
  <c r="AE114" i="2" s="1"/>
  <c r="P136" i="2"/>
  <c r="P140" i="2"/>
  <c r="AD140" i="2" s="1"/>
  <c r="AE140" i="2" s="1"/>
  <c r="P157" i="2"/>
  <c r="P23" i="2"/>
  <c r="AD23" i="2" s="1"/>
  <c r="AE23" i="2" s="1"/>
  <c r="P86" i="2"/>
  <c r="P45" i="2"/>
  <c r="AD45" i="2" s="1"/>
  <c r="AE45" i="2" s="1"/>
  <c r="P87" i="2"/>
  <c r="AD87" i="2" s="1"/>
  <c r="AE87" i="2" s="1"/>
  <c r="P56" i="2"/>
  <c r="AD56" i="2" s="1"/>
  <c r="AE56" i="2" s="1"/>
  <c r="P101" i="2"/>
  <c r="AD101" i="2" s="1"/>
  <c r="P153" i="2"/>
  <c r="AD153" i="2" s="1"/>
  <c r="AE153" i="2" s="1"/>
  <c r="P150" i="2"/>
  <c r="AD150" i="2" s="1"/>
  <c r="AE150" i="2" s="1"/>
  <c r="P161" i="2"/>
  <c r="P170" i="2"/>
  <c r="P180" i="2"/>
  <c r="AD180" i="2" s="1"/>
  <c r="AE180" i="2" s="1"/>
  <c r="P12" i="2"/>
  <c r="AD12" i="2" s="1"/>
  <c r="AE12" i="2" s="1"/>
  <c r="P30" i="2"/>
  <c r="P31" i="2"/>
  <c r="AD31" i="2" s="1"/>
  <c r="P55" i="2"/>
  <c r="AD55" i="2" s="1"/>
  <c r="P22" i="2"/>
  <c r="P82" i="2"/>
  <c r="AD82" i="2" s="1"/>
  <c r="AE82" i="2" s="1"/>
  <c r="P109" i="2"/>
  <c r="AD109" i="2" s="1"/>
  <c r="AE109" i="2" s="1"/>
  <c r="P103" i="2"/>
  <c r="AD103" i="2" s="1"/>
  <c r="AE103" i="2" s="1"/>
  <c r="P163" i="2"/>
  <c r="P179" i="2"/>
  <c r="AD179" i="2" s="1"/>
  <c r="AE179" i="2" s="1"/>
  <c r="P175" i="2"/>
  <c r="P190" i="2"/>
  <c r="AD190" i="2" s="1"/>
  <c r="AE190" i="2" s="1"/>
  <c r="P16" i="2"/>
  <c r="AD16" i="2" s="1"/>
  <c r="AE16" i="2" s="1"/>
  <c r="P51" i="2"/>
  <c r="AD51" i="2" s="1"/>
  <c r="AE51" i="2" s="1"/>
  <c r="P42" i="2"/>
  <c r="P81" i="2"/>
  <c r="AD81" i="2" s="1"/>
  <c r="AE81" i="2" s="1"/>
  <c r="P50" i="2"/>
  <c r="P92" i="2"/>
  <c r="AD92" i="2" s="1"/>
  <c r="AE92" i="2" s="1"/>
  <c r="P127" i="2"/>
  <c r="AD127" i="2" s="1"/>
  <c r="AE127" i="2" s="1"/>
  <c r="P111" i="2"/>
  <c r="AD111" i="2" s="1"/>
  <c r="AE111" i="2" s="1"/>
  <c r="P168" i="2"/>
  <c r="AD168" i="2" s="1"/>
  <c r="P145" i="2"/>
  <c r="AD145" i="2" s="1"/>
  <c r="AE145" i="2" s="1"/>
  <c r="P189" i="2"/>
  <c r="P132" i="2"/>
  <c r="AD132" i="2" s="1"/>
  <c r="AE132" i="2" s="1"/>
  <c r="P9" i="2"/>
  <c r="P19" i="2"/>
  <c r="AD19" i="2" s="1"/>
  <c r="AE19" i="2" s="1"/>
  <c r="P62" i="2"/>
  <c r="AD62" i="2" s="1"/>
  <c r="AE62" i="2" s="1"/>
  <c r="P60" i="2"/>
  <c r="AD60" i="2" s="1"/>
  <c r="AE60" i="2" s="1"/>
  <c r="P96" i="2"/>
  <c r="AD96" i="2" s="1"/>
  <c r="AE96" i="2" s="1"/>
  <c r="P72" i="2"/>
  <c r="AD72" i="2" s="1"/>
  <c r="AE72" i="2" s="1"/>
  <c r="P37" i="2"/>
  <c r="P134" i="2"/>
  <c r="AD134" i="2" s="1"/>
  <c r="AE134" i="2" s="1"/>
  <c r="P123" i="2"/>
  <c r="AD123" i="2" s="1"/>
  <c r="AE123" i="2" s="1"/>
  <c r="P174" i="2"/>
  <c r="AD174" i="2" s="1"/>
  <c r="AE174" i="2" s="1"/>
  <c r="P151" i="2"/>
  <c r="AD151" i="2" s="1"/>
  <c r="AE151" i="2" s="1"/>
  <c r="P143" i="2"/>
  <c r="AD143" i="2" s="1"/>
  <c r="AE143" i="2" s="1"/>
  <c r="P138" i="2"/>
  <c r="C15" i="4"/>
  <c r="P83" i="2"/>
  <c r="AD83" i="2" s="1"/>
  <c r="P71" i="2"/>
  <c r="P32" i="2"/>
  <c r="P94" i="2"/>
  <c r="P48" i="2"/>
  <c r="AD48" i="2" s="1"/>
  <c r="AE48" i="2" s="1"/>
  <c r="P106" i="2"/>
  <c r="P104" i="2"/>
  <c r="AD104" i="2" s="1"/>
  <c r="AE104" i="2" s="1"/>
  <c r="P183" i="2"/>
  <c r="AD183" i="2" s="1"/>
  <c r="AE183" i="2" s="1"/>
  <c r="P177" i="2"/>
  <c r="P162" i="2"/>
  <c r="P155" i="2"/>
  <c r="AD155" i="2" s="1"/>
  <c r="AE155" i="2" s="1"/>
  <c r="P95" i="2"/>
  <c r="AD95" i="2" s="1"/>
  <c r="AE95" i="2" s="1"/>
  <c r="P78" i="2"/>
  <c r="AD78" i="2" s="1"/>
  <c r="AE78" i="2" s="1"/>
  <c r="P43" i="2"/>
  <c r="AD43" i="2" s="1"/>
  <c r="P100" i="2"/>
  <c r="AD100" i="2" s="1"/>
  <c r="AE100" i="2" s="1"/>
  <c r="P67" i="2"/>
  <c r="P122" i="2"/>
  <c r="AD122" i="2" s="1"/>
  <c r="AE122" i="2" s="1"/>
  <c r="P118" i="2"/>
  <c r="P130" i="2"/>
  <c r="AD130" i="2" s="1"/>
  <c r="AE130" i="2" s="1"/>
  <c r="P128" i="2"/>
  <c r="AD128" i="2" s="1"/>
  <c r="AE128" i="2" s="1"/>
  <c r="P146" i="2"/>
  <c r="P186" i="2"/>
  <c r="S25" i="3"/>
  <c r="P10" i="2"/>
  <c r="P41" i="2"/>
  <c r="AD41" i="2" s="1"/>
  <c r="AE41" i="2" s="1"/>
  <c r="P98" i="2"/>
  <c r="P38" i="2"/>
  <c r="P91" i="2"/>
  <c r="AD91" i="2" s="1"/>
  <c r="AE91" i="2" s="1"/>
  <c r="P63" i="2"/>
  <c r="AD63" i="2" s="1"/>
  <c r="AE63" i="2" s="1"/>
  <c r="P47" i="2"/>
  <c r="P36" i="2"/>
  <c r="AD36" i="2" s="1"/>
  <c r="AE36" i="2" s="1"/>
  <c r="P25" i="2"/>
  <c r="AD25" i="2" s="1"/>
  <c r="AE25" i="2" s="1"/>
  <c r="P85" i="2"/>
  <c r="AD85" i="2" s="1"/>
  <c r="P70" i="2"/>
  <c r="P124" i="2"/>
  <c r="AD124" i="2" s="1"/>
  <c r="AE124" i="2" s="1"/>
  <c r="P125" i="2"/>
  <c r="AD125" i="2" s="1"/>
  <c r="AE125" i="2" s="1"/>
  <c r="P107" i="2"/>
  <c r="AD107" i="2" s="1"/>
  <c r="AE107" i="2" s="1"/>
  <c r="P112" i="2"/>
  <c r="AD112" i="2" s="1"/>
  <c r="P165" i="2"/>
  <c r="AD165" i="2" s="1"/>
  <c r="AE165" i="2" s="1"/>
  <c r="P133" i="2"/>
  <c r="AD133" i="2" s="1"/>
  <c r="AE133" i="2" s="1"/>
  <c r="P181" i="2"/>
  <c r="P131" i="2"/>
  <c r="AD131" i="2" s="1"/>
  <c r="AE131" i="2" s="1"/>
  <c r="P184" i="2"/>
  <c r="AD184" i="2" s="1"/>
  <c r="AE184" i="2" s="1"/>
  <c r="P152" i="2"/>
  <c r="AD152" i="2" s="1"/>
  <c r="P129" i="2"/>
  <c r="AD129" i="2" s="1"/>
  <c r="AE129" i="2" s="1"/>
  <c r="P17" i="2"/>
  <c r="AD17" i="2" s="1"/>
  <c r="AE17" i="2" s="1"/>
  <c r="P8" i="2"/>
  <c r="P54" i="2"/>
  <c r="P57" i="2"/>
  <c r="AD57" i="2" s="1"/>
  <c r="AE57" i="2" s="1"/>
  <c r="P49" i="2"/>
  <c r="AD49" i="2" s="1"/>
  <c r="AE49" i="2" s="1"/>
  <c r="P21" i="2"/>
  <c r="AD21" i="2" s="1"/>
  <c r="AE21" i="2" s="1"/>
  <c r="P84" i="2"/>
  <c r="AD84" i="2" s="1"/>
  <c r="AE84" i="2" s="1"/>
  <c r="P66" i="2"/>
  <c r="AD66" i="2" s="1"/>
  <c r="AE66" i="2" s="1"/>
  <c r="P61" i="2"/>
  <c r="AD61" i="2" s="1"/>
  <c r="P40" i="2"/>
  <c r="AD40" i="2" s="1"/>
  <c r="AE40" i="2" s="1"/>
  <c r="P33" i="2"/>
  <c r="AD33" i="2" s="1"/>
  <c r="AE33" i="2" s="1"/>
  <c r="P76" i="2"/>
  <c r="P119" i="2"/>
  <c r="AD119" i="2" s="1"/>
  <c r="AE119" i="2" s="1"/>
  <c r="P115" i="2"/>
  <c r="AD115" i="2" s="1"/>
  <c r="AE115" i="2" s="1"/>
  <c r="P120" i="2"/>
  <c r="AD120" i="2" s="1"/>
  <c r="P116" i="2"/>
  <c r="AD116" i="2" s="1"/>
  <c r="AE116" i="2" s="1"/>
  <c r="P172" i="2"/>
  <c r="AD172" i="2" s="1"/>
  <c r="AE172" i="2" s="1"/>
  <c r="P139" i="2"/>
  <c r="P148" i="2"/>
  <c r="P154" i="2"/>
  <c r="P137" i="2"/>
  <c r="AD137" i="2" s="1"/>
  <c r="AE137" i="2" s="1"/>
  <c r="P167" i="2"/>
  <c r="AD167" i="2" s="1"/>
  <c r="AE167" i="2" s="1"/>
  <c r="P135" i="2"/>
  <c r="AD135" i="2" s="1"/>
  <c r="AE135" i="2" s="1"/>
  <c r="P14" i="2"/>
  <c r="AD14" i="2" s="1"/>
  <c r="AE14" i="2" s="1"/>
  <c r="P20" i="2"/>
  <c r="AD20" i="2" s="1"/>
  <c r="AE20" i="2" s="1"/>
  <c r="P80" i="2"/>
  <c r="AD80" i="2" s="1"/>
  <c r="AE80" i="2" s="1"/>
  <c r="P77" i="2"/>
  <c r="AD77" i="2" s="1"/>
  <c r="AE77" i="2" s="1"/>
  <c r="P68" i="2"/>
  <c r="AD68" i="2" s="1"/>
  <c r="AE68" i="2" s="1"/>
  <c r="P35" i="2"/>
  <c r="AD35" i="2" s="1"/>
  <c r="AE35" i="2" s="1"/>
  <c r="P28" i="2"/>
  <c r="AD28" i="2" s="1"/>
  <c r="AE28" i="2" s="1"/>
  <c r="P75" i="2"/>
  <c r="AD75" i="2" s="1"/>
  <c r="AE75" i="2" s="1"/>
  <c r="P79" i="2"/>
  <c r="AD79" i="2" s="1"/>
  <c r="AE79" i="2" s="1"/>
  <c r="P53" i="2"/>
  <c r="AD53" i="2" s="1"/>
  <c r="AE53" i="2" s="1"/>
  <c r="P46" i="2"/>
  <c r="P99" i="2"/>
  <c r="AD99" i="2" s="1"/>
  <c r="AE99" i="2" s="1"/>
  <c r="P102" i="2"/>
  <c r="AD102" i="2" s="1"/>
  <c r="AE102" i="2" s="1"/>
  <c r="P147" i="2"/>
  <c r="AD147" i="2" s="1"/>
  <c r="P126" i="2"/>
  <c r="AD126" i="2" s="1"/>
  <c r="AE126" i="2" s="1"/>
  <c r="P144" i="2"/>
  <c r="P176" i="2"/>
  <c r="AD176" i="2" s="1"/>
  <c r="AE176" i="2" s="1"/>
  <c r="P156" i="2"/>
  <c r="AD156" i="2" s="1"/>
  <c r="AE156" i="2" s="1"/>
  <c r="P159" i="2"/>
  <c r="AD159" i="2" s="1"/>
  <c r="AE159" i="2" s="1"/>
  <c r="P166" i="2"/>
  <c r="AD166" i="2" s="1"/>
  <c r="AE166" i="2" s="1"/>
  <c r="P149" i="2"/>
  <c r="P178" i="2"/>
  <c r="P141" i="2"/>
  <c r="P18" i="2"/>
  <c r="AD18" i="2" s="1"/>
  <c r="AE18" i="2" s="1"/>
  <c r="P26" i="2"/>
  <c r="AD26" i="2" s="1"/>
  <c r="AE26" i="2" s="1"/>
  <c r="P88" i="2"/>
  <c r="AD88" i="2" s="1"/>
  <c r="AE88" i="2" s="1"/>
  <c r="P27" i="2"/>
  <c r="AD27" i="2" s="1"/>
  <c r="AE27" i="2" s="1"/>
  <c r="P74" i="2"/>
  <c r="P52" i="2"/>
  <c r="AD52" i="2" s="1"/>
  <c r="AE52" i="2" s="1"/>
  <c r="P39" i="2"/>
  <c r="AD39" i="2" s="1"/>
  <c r="AE39" i="2" s="1"/>
  <c r="P89" i="2"/>
  <c r="AD89" i="2" s="1"/>
  <c r="AE89" i="2" s="1"/>
  <c r="P97" i="2"/>
  <c r="AD97" i="2" s="1"/>
  <c r="AE97" i="2" s="1"/>
  <c r="P64" i="2"/>
  <c r="AD64" i="2" s="1"/>
  <c r="P59" i="2"/>
  <c r="AD59" i="2" s="1"/>
  <c r="AE59" i="2" s="1"/>
  <c r="P105" i="2"/>
  <c r="AD105" i="2" s="1"/>
  <c r="AE105" i="2" s="1"/>
  <c r="P110" i="2"/>
  <c r="P188" i="2"/>
  <c r="AD188" i="2" s="1"/>
  <c r="P108" i="2"/>
  <c r="AD108" i="2" s="1"/>
  <c r="AE108" i="2" s="1"/>
  <c r="P158" i="2"/>
  <c r="F18" i="4" s="1"/>
  <c r="G18" i="4" s="1"/>
  <c r="P187" i="2"/>
  <c r="AD187" i="2" s="1"/>
  <c r="AE187" i="2" s="1"/>
  <c r="P169" i="2"/>
  <c r="AD169" i="2" s="1"/>
  <c r="AE169" i="2" s="1"/>
  <c r="P173" i="2"/>
  <c r="P182" i="2"/>
  <c r="P185" i="2"/>
  <c r="P160" i="2"/>
  <c r="AD160" i="2" s="1"/>
  <c r="AE160" i="2" s="1"/>
  <c r="P15" i="2"/>
  <c r="AD15" i="2" s="1"/>
  <c r="AE15" i="2" s="1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9" i="4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F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Y7" i="3" l="1"/>
  <c r="X7" i="3"/>
  <c r="P300" i="2"/>
  <c r="P301" i="2"/>
  <c r="AD301" i="2" s="1"/>
  <c r="AE301" i="2" s="1"/>
  <c r="AH301" i="2" s="1"/>
  <c r="AE321" i="2"/>
  <c r="AG321" i="2" s="1"/>
  <c r="AH321" i="2" s="1"/>
  <c r="M308" i="2"/>
  <c r="N308" i="2"/>
  <c r="P214" i="2"/>
  <c r="AD214" i="2" s="1"/>
  <c r="AE214" i="2" s="1"/>
  <c r="AH214" i="2" s="1"/>
  <c r="P222" i="2"/>
  <c r="AD222" i="2" s="1"/>
  <c r="AE222" i="2" s="1"/>
  <c r="AH222" i="2" s="1"/>
  <c r="P230" i="2"/>
  <c r="P238" i="2"/>
  <c r="P246" i="2"/>
  <c r="P254" i="2"/>
  <c r="P262" i="2"/>
  <c r="AD262" i="2" s="1"/>
  <c r="AE262" i="2" s="1"/>
  <c r="AH262" i="2" s="1"/>
  <c r="P270" i="2"/>
  <c r="AD270" i="2" s="1"/>
  <c r="AE270" i="2" s="1"/>
  <c r="AH270" i="2" s="1"/>
  <c r="P278" i="2"/>
  <c r="AD278" i="2" s="1"/>
  <c r="AE278" i="2" s="1"/>
  <c r="AH278" i="2" s="1"/>
  <c r="P286" i="2"/>
  <c r="AD286" i="2" s="1"/>
  <c r="AE286" i="2" s="1"/>
  <c r="AH286" i="2" s="1"/>
  <c r="P294" i="2"/>
  <c r="AD294" i="2" s="1"/>
  <c r="AE294" i="2" s="1"/>
  <c r="AH294" i="2" s="1"/>
  <c r="P194" i="2"/>
  <c r="P202" i="2"/>
  <c r="P191" i="2"/>
  <c r="AD191" i="2" s="1"/>
  <c r="AE191" i="2" s="1"/>
  <c r="P215" i="2"/>
  <c r="AD215" i="2" s="1"/>
  <c r="AE215" i="2" s="1"/>
  <c r="AH215" i="2" s="1"/>
  <c r="P223" i="2"/>
  <c r="AD223" i="2" s="1"/>
  <c r="AE223" i="2" s="1"/>
  <c r="AH223" i="2" s="1"/>
  <c r="P231" i="2"/>
  <c r="P239" i="2"/>
  <c r="AD239" i="2" s="1"/>
  <c r="AE239" i="2" s="1"/>
  <c r="P247" i="2"/>
  <c r="AD247" i="2" s="1"/>
  <c r="AE247" i="2" s="1"/>
  <c r="P255" i="2"/>
  <c r="AD255" i="2" s="1"/>
  <c r="AE255" i="2" s="1"/>
  <c r="AH255" i="2" s="1"/>
  <c r="P263" i="2"/>
  <c r="AD263" i="2" s="1"/>
  <c r="AE263" i="2" s="1"/>
  <c r="AH263" i="2" s="1"/>
  <c r="P271" i="2"/>
  <c r="AD271" i="2" s="1"/>
  <c r="AE271" i="2" s="1"/>
  <c r="AH271" i="2" s="1"/>
  <c r="P279" i="2"/>
  <c r="AD279" i="2" s="1"/>
  <c r="AE279" i="2" s="1"/>
  <c r="AH279" i="2" s="1"/>
  <c r="P287" i="2"/>
  <c r="AD287" i="2" s="1"/>
  <c r="AE287" i="2" s="1"/>
  <c r="AH287" i="2" s="1"/>
  <c r="P295" i="2"/>
  <c r="AD295" i="2" s="1"/>
  <c r="AE295" i="2" s="1"/>
  <c r="AH295" i="2" s="1"/>
  <c r="P195" i="2"/>
  <c r="AD195" i="2" s="1"/>
  <c r="AE195" i="2" s="1"/>
  <c r="P203" i="2"/>
  <c r="AD203" i="2" s="1"/>
  <c r="AE203" i="2" s="1"/>
  <c r="P216" i="2"/>
  <c r="AD216" i="2" s="1"/>
  <c r="AE216" i="2" s="1"/>
  <c r="AH216" i="2" s="1"/>
  <c r="P224" i="2"/>
  <c r="AD224" i="2" s="1"/>
  <c r="P232" i="2"/>
  <c r="P240" i="2"/>
  <c r="P248" i="2"/>
  <c r="P256" i="2"/>
  <c r="AD256" i="2" s="1"/>
  <c r="AE256" i="2" s="1"/>
  <c r="AH256" i="2" s="1"/>
  <c r="P264" i="2"/>
  <c r="AD264" i="2" s="1"/>
  <c r="P272" i="2"/>
  <c r="AD272" i="2" s="1"/>
  <c r="AE272" i="2" s="1"/>
  <c r="AH272" i="2" s="1"/>
  <c r="P280" i="2"/>
  <c r="AD280" i="2" s="1"/>
  <c r="P288" i="2"/>
  <c r="AD288" i="2" s="1"/>
  <c r="AE288" i="2" s="1"/>
  <c r="AH288" i="2" s="1"/>
  <c r="P296" i="2"/>
  <c r="AD296" i="2" s="1"/>
  <c r="AE296" i="2" s="1"/>
  <c r="AH296" i="2" s="1"/>
  <c r="P196" i="2"/>
  <c r="P204" i="2"/>
  <c r="P199" i="2"/>
  <c r="P212" i="2"/>
  <c r="AD212" i="2" s="1"/>
  <c r="AE212" i="2" s="1"/>
  <c r="AH212" i="2" s="1"/>
  <c r="P228" i="2"/>
  <c r="P244" i="2"/>
  <c r="P260" i="2"/>
  <c r="AD260" i="2" s="1"/>
  <c r="AE260" i="2" s="1"/>
  <c r="AH260" i="2" s="1"/>
  <c r="P276" i="2"/>
  <c r="AD276" i="2" s="1"/>
  <c r="AE276" i="2" s="1"/>
  <c r="AH276" i="2" s="1"/>
  <c r="P292" i="2"/>
  <c r="AD292" i="2" s="1"/>
  <c r="AE292" i="2" s="1"/>
  <c r="AH292" i="2" s="1"/>
  <c r="P200" i="2"/>
  <c r="P213" i="2"/>
  <c r="AD213" i="2" s="1"/>
  <c r="AE213" i="2" s="1"/>
  <c r="AH213" i="2" s="1"/>
  <c r="P237" i="2"/>
  <c r="P253" i="2"/>
  <c r="AD253" i="2" s="1"/>
  <c r="AE253" i="2" s="1"/>
  <c r="P277" i="2"/>
  <c r="AD277" i="2" s="1"/>
  <c r="AE277" i="2" s="1"/>
  <c r="AH277" i="2" s="1"/>
  <c r="P293" i="2"/>
  <c r="AD293" i="2" s="1"/>
  <c r="AE293" i="2" s="1"/>
  <c r="AH293" i="2" s="1"/>
  <c r="P201" i="2"/>
  <c r="P217" i="2"/>
  <c r="AD217" i="2" s="1"/>
  <c r="AE217" i="2" s="1"/>
  <c r="AH217" i="2" s="1"/>
  <c r="P225" i="2"/>
  <c r="AD225" i="2" s="1"/>
  <c r="AE225" i="2" s="1"/>
  <c r="AH225" i="2" s="1"/>
  <c r="P233" i="2"/>
  <c r="P241" i="2"/>
  <c r="P249" i="2"/>
  <c r="P257" i="2"/>
  <c r="AD257" i="2" s="1"/>
  <c r="AE257" i="2" s="1"/>
  <c r="AH257" i="2" s="1"/>
  <c r="P265" i="2"/>
  <c r="AD265" i="2" s="1"/>
  <c r="AE265" i="2" s="1"/>
  <c r="AH265" i="2" s="1"/>
  <c r="P273" i="2"/>
  <c r="AD273" i="2" s="1"/>
  <c r="AE273" i="2" s="1"/>
  <c r="AH273" i="2" s="1"/>
  <c r="P281" i="2"/>
  <c r="AD281" i="2" s="1"/>
  <c r="AE281" i="2" s="1"/>
  <c r="AH281" i="2" s="1"/>
  <c r="P289" i="2"/>
  <c r="AD289" i="2" s="1"/>
  <c r="AE289" i="2" s="1"/>
  <c r="AH289" i="2" s="1"/>
  <c r="P297" i="2"/>
  <c r="AD297" i="2" s="1"/>
  <c r="AE297" i="2" s="1"/>
  <c r="AH297" i="2" s="1"/>
  <c r="P197" i="2"/>
  <c r="P205" i="2"/>
  <c r="AD205" i="2" s="1"/>
  <c r="AE205" i="2" s="1"/>
  <c r="AH205" i="2" s="1"/>
  <c r="P210" i="2"/>
  <c r="AD210" i="2" s="1"/>
  <c r="AE210" i="2" s="1"/>
  <c r="AH210" i="2" s="1"/>
  <c r="P218" i="2"/>
  <c r="AD218" i="2" s="1"/>
  <c r="AE218" i="2" s="1"/>
  <c r="AH218" i="2" s="1"/>
  <c r="P226" i="2"/>
  <c r="AD226" i="2" s="1"/>
  <c r="AE226" i="2" s="1"/>
  <c r="AH226" i="2" s="1"/>
  <c r="P234" i="2"/>
  <c r="P242" i="2"/>
  <c r="P250" i="2"/>
  <c r="P258" i="2"/>
  <c r="AD258" i="2" s="1"/>
  <c r="AE258" i="2" s="1"/>
  <c r="AH258" i="2" s="1"/>
  <c r="P266" i="2"/>
  <c r="AD266" i="2" s="1"/>
  <c r="AE266" i="2" s="1"/>
  <c r="AH266" i="2" s="1"/>
  <c r="P274" i="2"/>
  <c r="AD274" i="2" s="1"/>
  <c r="AE274" i="2" s="1"/>
  <c r="AH274" i="2" s="1"/>
  <c r="P282" i="2"/>
  <c r="AD282" i="2" s="1"/>
  <c r="AE282" i="2" s="1"/>
  <c r="AH282" i="2" s="1"/>
  <c r="P290" i="2"/>
  <c r="AD290" i="2" s="1"/>
  <c r="AE290" i="2" s="1"/>
  <c r="AH290" i="2" s="1"/>
  <c r="P298" i="2"/>
  <c r="AD298" i="2" s="1"/>
  <c r="AE298" i="2" s="1"/>
  <c r="AH298" i="2" s="1"/>
  <c r="P198" i="2"/>
  <c r="P206" i="2"/>
  <c r="AD206" i="2" s="1"/>
  <c r="AE206" i="2" s="1"/>
  <c r="AH206" i="2" s="1"/>
  <c r="P211" i="2"/>
  <c r="AD211" i="2" s="1"/>
  <c r="AE211" i="2" s="1"/>
  <c r="AH211" i="2" s="1"/>
  <c r="P219" i="2"/>
  <c r="AD219" i="2" s="1"/>
  <c r="AE219" i="2" s="1"/>
  <c r="AH219" i="2" s="1"/>
  <c r="P227" i="2"/>
  <c r="AD227" i="2" s="1"/>
  <c r="AE227" i="2" s="1"/>
  <c r="P235" i="2"/>
  <c r="AD235" i="2" s="1"/>
  <c r="AE235" i="2" s="1"/>
  <c r="P243" i="2"/>
  <c r="AD243" i="2" s="1"/>
  <c r="AE243" i="2" s="1"/>
  <c r="P251" i="2"/>
  <c r="AD251" i="2" s="1"/>
  <c r="AE251" i="2" s="1"/>
  <c r="P259" i="2"/>
  <c r="AD259" i="2" s="1"/>
  <c r="AE259" i="2" s="1"/>
  <c r="AH259" i="2" s="1"/>
  <c r="P267" i="2"/>
  <c r="AD267" i="2" s="1"/>
  <c r="AE267" i="2" s="1"/>
  <c r="AH267" i="2" s="1"/>
  <c r="P275" i="2"/>
  <c r="AD275" i="2" s="1"/>
  <c r="AE275" i="2" s="1"/>
  <c r="AH275" i="2" s="1"/>
  <c r="P283" i="2"/>
  <c r="AD283" i="2" s="1"/>
  <c r="AE283" i="2" s="1"/>
  <c r="AH283" i="2" s="1"/>
  <c r="P291" i="2"/>
  <c r="AD291" i="2" s="1"/>
  <c r="AE291" i="2" s="1"/>
  <c r="AH291" i="2" s="1"/>
  <c r="P299" i="2"/>
  <c r="AD299" i="2" s="1"/>
  <c r="AE299" i="2" s="1"/>
  <c r="P207" i="2"/>
  <c r="AD207" i="2" s="1"/>
  <c r="AE207" i="2" s="1"/>
  <c r="AH207" i="2" s="1"/>
  <c r="P220" i="2"/>
  <c r="AD220" i="2" s="1"/>
  <c r="P236" i="2"/>
  <c r="P252" i="2"/>
  <c r="P268" i="2"/>
  <c r="AD268" i="2" s="1"/>
  <c r="AE268" i="2" s="1"/>
  <c r="AH268" i="2" s="1"/>
  <c r="P284" i="2"/>
  <c r="AD284" i="2" s="1"/>
  <c r="P192" i="2"/>
  <c r="P208" i="2"/>
  <c r="AD208" i="2" s="1"/>
  <c r="AE208" i="2" s="1"/>
  <c r="AH208" i="2" s="1"/>
  <c r="P221" i="2"/>
  <c r="AD221" i="2" s="1"/>
  <c r="AE221" i="2" s="1"/>
  <c r="AH221" i="2" s="1"/>
  <c r="P229" i="2"/>
  <c r="P245" i="2"/>
  <c r="P261" i="2"/>
  <c r="AD261" i="2" s="1"/>
  <c r="AE261" i="2" s="1"/>
  <c r="AH261" i="2" s="1"/>
  <c r="P269" i="2"/>
  <c r="AD269" i="2" s="1"/>
  <c r="AE269" i="2" s="1"/>
  <c r="AH269" i="2" s="1"/>
  <c r="P285" i="2"/>
  <c r="AD285" i="2" s="1"/>
  <c r="AE285" i="2" s="1"/>
  <c r="AH285" i="2" s="1"/>
  <c r="P193" i="2"/>
  <c r="P209" i="2"/>
  <c r="AD209" i="2" s="1"/>
  <c r="AE209" i="2" s="1"/>
  <c r="AH209" i="2" s="1"/>
  <c r="AD306" i="2"/>
  <c r="AE306" i="2" s="1"/>
  <c r="AG306" i="2" s="1"/>
  <c r="AH306" i="2" s="1"/>
  <c r="AD307" i="2"/>
  <c r="AE307" i="2" s="1"/>
  <c r="AG307" i="2" s="1"/>
  <c r="AH307" i="2" s="1"/>
  <c r="AD32" i="2"/>
  <c r="AE32" i="2" s="1"/>
  <c r="AH32" i="2" s="1"/>
  <c r="AD71" i="2"/>
  <c r="AE71" i="2" s="1"/>
  <c r="AH71" i="2" s="1"/>
  <c r="AD141" i="2"/>
  <c r="AE141" i="2" s="1"/>
  <c r="AH141" i="2" s="1"/>
  <c r="AD9" i="2"/>
  <c r="AE9" i="2" s="1"/>
  <c r="AE31" i="2"/>
  <c r="AH31" i="2" s="1"/>
  <c r="AD67" i="2"/>
  <c r="AE67" i="2" s="1"/>
  <c r="AH67" i="2" s="1"/>
  <c r="AE121" i="2"/>
  <c r="AD38" i="2"/>
  <c r="AE38" i="2" s="1"/>
  <c r="AH38" i="2" s="1"/>
  <c r="AH166" i="2"/>
  <c r="AH190" i="2"/>
  <c r="AE112" i="2"/>
  <c r="AH112" i="2" s="1"/>
  <c r="AE55" i="2"/>
  <c r="AH55" i="2" s="1"/>
  <c r="AE152" i="2"/>
  <c r="AH152" i="2" s="1"/>
  <c r="AD154" i="2"/>
  <c r="AE154" i="2" s="1"/>
  <c r="AH154" i="2" s="1"/>
  <c r="AD185" i="2"/>
  <c r="AE185" i="2" s="1"/>
  <c r="AH185" i="2" s="1"/>
  <c r="AD50" i="2"/>
  <c r="AE50" i="2" s="1"/>
  <c r="AH50" i="2" s="1"/>
  <c r="AE101" i="2"/>
  <c r="AJ101" i="2" s="1"/>
  <c r="AP101" i="2" s="1"/>
  <c r="AD70" i="2"/>
  <c r="AE70" i="2" s="1"/>
  <c r="AH70" i="2" s="1"/>
  <c r="AD157" i="2"/>
  <c r="AE157" i="2" s="1"/>
  <c r="AH157" i="2" s="1"/>
  <c r="AD186" i="2"/>
  <c r="AE186" i="2" s="1"/>
  <c r="AH186" i="2" s="1"/>
  <c r="AD149" i="2"/>
  <c r="AE149" i="2" s="1"/>
  <c r="AH149" i="2" s="1"/>
  <c r="AD162" i="2"/>
  <c r="AE162" i="2" s="1"/>
  <c r="AH162" i="2" s="1"/>
  <c r="AD98" i="2"/>
  <c r="AE98" i="2" s="1"/>
  <c r="AH98" i="2" s="1"/>
  <c r="AD181" i="2"/>
  <c r="AE181" i="2" s="1"/>
  <c r="AH181" i="2" s="1"/>
  <c r="AD8" i="2"/>
  <c r="AE8" i="2" s="1"/>
  <c r="AH78" i="2"/>
  <c r="AH174" i="2"/>
  <c r="AH145" i="2"/>
  <c r="AE85" i="2"/>
  <c r="AH85" i="2" s="1"/>
  <c r="AD76" i="2"/>
  <c r="AE76" i="2" s="1"/>
  <c r="AE61" i="2"/>
  <c r="AH61" i="2" s="1"/>
  <c r="AD148" i="2"/>
  <c r="AE148" i="2" s="1"/>
  <c r="AH148" i="2" s="1"/>
  <c r="AD144" i="2"/>
  <c r="AE144" i="2" s="1"/>
  <c r="AE164" i="2"/>
  <c r="AH164" i="2" s="1"/>
  <c r="AD54" i="2"/>
  <c r="AE54" i="2" s="1"/>
  <c r="AH54" i="2" s="1"/>
  <c r="AD46" i="2"/>
  <c r="AE46" i="2" s="1"/>
  <c r="AH46" i="2" s="1"/>
  <c r="AD110" i="2"/>
  <c r="AE110" i="2" s="1"/>
  <c r="AH110" i="2" s="1"/>
  <c r="AD10" i="2"/>
  <c r="AE10" i="2" s="1"/>
  <c r="AH10" i="2" s="1"/>
  <c r="AD42" i="2"/>
  <c r="AE42" i="2" s="1"/>
  <c r="AH42" i="2" s="1"/>
  <c r="AD34" i="2"/>
  <c r="AE34" i="2" s="1"/>
  <c r="AH34" i="2" s="1"/>
  <c r="AD173" i="2"/>
  <c r="AE173" i="2" s="1"/>
  <c r="AH173" i="2" s="1"/>
  <c r="AH169" i="2"/>
  <c r="AH26" i="2"/>
  <c r="AH14" i="2"/>
  <c r="AH66" i="2"/>
  <c r="AH165" i="2"/>
  <c r="AH150" i="2"/>
  <c r="AH114" i="2"/>
  <c r="AE188" i="2"/>
  <c r="AH188" i="2" s="1"/>
  <c r="AD94" i="2"/>
  <c r="AE94" i="2" s="1"/>
  <c r="AH94" i="2" s="1"/>
  <c r="AD90" i="2"/>
  <c r="AE90" i="2" s="1"/>
  <c r="AH90" i="2" s="1"/>
  <c r="AD163" i="2"/>
  <c r="AE163" i="2" s="1"/>
  <c r="AH163" i="2" s="1"/>
  <c r="AD161" i="2"/>
  <c r="AE161" i="2" s="1"/>
  <c r="AH161" i="2" s="1"/>
  <c r="AH187" i="2"/>
  <c r="AH18" i="2"/>
  <c r="AH130" i="2"/>
  <c r="AH134" i="2"/>
  <c r="AH153" i="2"/>
  <c r="AE43" i="2"/>
  <c r="AH43" i="2" s="1"/>
  <c r="AE83" i="2"/>
  <c r="AH83" i="2" s="1"/>
  <c r="AD189" i="2"/>
  <c r="AE189" i="2" s="1"/>
  <c r="AH189" i="2" s="1"/>
  <c r="AD136" i="2"/>
  <c r="AE136" i="2" s="1"/>
  <c r="AE147" i="2"/>
  <c r="AH147" i="2" s="1"/>
  <c r="AE11" i="2"/>
  <c r="AH11" i="2" s="1"/>
  <c r="AE120" i="2"/>
  <c r="AH120" i="2" s="1"/>
  <c r="AD139" i="2"/>
  <c r="AE139" i="2" s="1"/>
  <c r="AH139" i="2" s="1"/>
  <c r="AD58" i="2"/>
  <c r="AE58" i="2" s="1"/>
  <c r="AH58" i="2" s="1"/>
  <c r="AD74" i="2"/>
  <c r="AE74" i="2" s="1"/>
  <c r="AH74" i="2" s="1"/>
  <c r="AD158" i="2"/>
  <c r="AE158" i="2" s="1"/>
  <c r="AH158" i="2" s="1"/>
  <c r="AH126" i="2"/>
  <c r="AH167" i="2"/>
  <c r="AE168" i="2"/>
  <c r="AR168" i="2" s="1"/>
  <c r="AD37" i="2"/>
  <c r="AE37" i="2" s="1"/>
  <c r="AH37" i="2" s="1"/>
  <c r="AD138" i="2"/>
  <c r="AE138" i="2" s="1"/>
  <c r="AH138" i="2" s="1"/>
  <c r="AD86" i="2"/>
  <c r="AE86" i="2" s="1"/>
  <c r="AH86" i="2" s="1"/>
  <c r="AD106" i="2"/>
  <c r="AE106" i="2" s="1"/>
  <c r="AH106" i="2" s="1"/>
  <c r="AD142" i="2"/>
  <c r="AE142" i="2" s="1"/>
  <c r="AH142" i="2" s="1"/>
  <c r="AD146" i="2"/>
  <c r="AE146" i="2" s="1"/>
  <c r="AH146" i="2" s="1"/>
  <c r="AD118" i="2"/>
  <c r="AE118" i="2" s="1"/>
  <c r="AH118" i="2" s="1"/>
  <c r="AD182" i="2"/>
  <c r="AE182" i="2" s="1"/>
  <c r="AH182" i="2" s="1"/>
  <c r="AH122" i="2"/>
  <c r="AH82" i="2"/>
  <c r="AE24" i="2"/>
  <c r="AH24" i="2" s="1"/>
  <c r="AE64" i="2"/>
  <c r="AH64" i="2" s="1"/>
  <c r="AD178" i="2"/>
  <c r="AE178" i="2" s="1"/>
  <c r="AH178" i="2" s="1"/>
  <c r="AD30" i="2"/>
  <c r="AE30" i="2" s="1"/>
  <c r="AH30" i="2" s="1"/>
  <c r="AD170" i="2"/>
  <c r="AE170" i="2" s="1"/>
  <c r="AH170" i="2" s="1"/>
  <c r="AD177" i="2"/>
  <c r="AE177" i="2" s="1"/>
  <c r="AH177" i="2" s="1"/>
  <c r="AD175" i="2"/>
  <c r="AE175" i="2" s="1"/>
  <c r="AH175" i="2" s="1"/>
  <c r="AD22" i="2"/>
  <c r="AE22" i="2" s="1"/>
  <c r="AH22" i="2" s="1"/>
  <c r="AH84" i="2"/>
  <c r="AH113" i="2"/>
  <c r="AH48" i="2"/>
  <c r="AH132" i="2"/>
  <c r="AH180" i="2"/>
  <c r="AH160" i="2"/>
  <c r="AH108" i="2"/>
  <c r="AH119" i="2"/>
  <c r="AH49" i="2"/>
  <c r="AH125" i="2"/>
  <c r="AH52" i="2"/>
  <c r="AH102" i="2"/>
  <c r="AH68" i="2"/>
  <c r="AH57" i="2"/>
  <c r="AH184" i="2"/>
  <c r="AH124" i="2"/>
  <c r="AH96" i="2"/>
  <c r="AH87" i="2"/>
  <c r="AH100" i="2"/>
  <c r="AH40" i="2"/>
  <c r="AH62" i="2"/>
  <c r="AH20" i="2"/>
  <c r="AH133" i="2"/>
  <c r="AH25" i="2"/>
  <c r="AH23" i="2"/>
  <c r="AH60" i="2"/>
  <c r="AD47" i="2"/>
  <c r="AE47" i="2" s="1"/>
  <c r="AH47" i="2" s="1"/>
  <c r="AH88" i="2"/>
  <c r="AH156" i="2"/>
  <c r="AH172" i="2"/>
  <c r="AH176" i="2"/>
  <c r="AH79" i="2"/>
  <c r="AH116" i="2"/>
  <c r="AH36" i="2"/>
  <c r="AH128" i="2"/>
  <c r="AH16" i="2"/>
  <c r="AH12" i="2"/>
  <c r="AH80" i="2"/>
  <c r="AH140" i="2"/>
  <c r="AH104" i="2"/>
  <c r="AH44" i="2"/>
  <c r="AH28" i="2"/>
  <c r="AH72" i="2"/>
  <c r="AH92" i="2"/>
  <c r="AH56" i="2"/>
  <c r="AH107" i="2"/>
  <c r="AH63" i="2"/>
  <c r="AH123" i="2"/>
  <c r="AH29" i="2"/>
  <c r="AH151" i="2"/>
  <c r="AH95" i="2"/>
  <c r="AH117" i="2"/>
  <c r="AH59" i="2"/>
  <c r="AH69" i="2"/>
  <c r="AH73" i="2"/>
  <c r="AH109" i="2"/>
  <c r="AH155" i="2"/>
  <c r="AH103" i="2"/>
  <c r="AH131" i="2"/>
  <c r="AH33" i="2"/>
  <c r="AH97" i="2"/>
  <c r="AH91" i="2"/>
  <c r="AH65" i="2"/>
  <c r="AH41" i="2"/>
  <c r="AH35" i="2"/>
  <c r="AH183" i="2"/>
  <c r="AH135" i="2"/>
  <c r="AH81" i="2"/>
  <c r="AH105" i="2"/>
  <c r="AH77" i="2"/>
  <c r="AH53" i="2"/>
  <c r="AH129" i="2"/>
  <c r="AH21" i="2"/>
  <c r="AH171" i="2"/>
  <c r="AH89" i="2"/>
  <c r="AH13" i="2"/>
  <c r="AH179" i="2"/>
  <c r="AH51" i="2"/>
  <c r="AH45" i="2"/>
  <c r="AH15" i="2"/>
  <c r="AH93" i="2"/>
  <c r="AH17" i="2"/>
  <c r="AH127" i="2"/>
  <c r="AU102" i="2"/>
  <c r="AY140" i="2"/>
  <c r="AU96" i="2"/>
  <c r="AV190" i="2"/>
  <c r="AI100" i="2"/>
  <c r="AO100" i="2" s="1"/>
  <c r="AQ56" i="2"/>
  <c r="AR128" i="2"/>
  <c r="AR130" i="2"/>
  <c r="AR180" i="2"/>
  <c r="AX104" i="2"/>
  <c r="F23" i="4"/>
  <c r="G23" i="4" s="1"/>
  <c r="AQ125" i="2"/>
  <c r="F9" i="4"/>
  <c r="G9" i="4" s="1"/>
  <c r="F29" i="4"/>
  <c r="T16" i="3"/>
  <c r="S16" i="3"/>
  <c r="Y9" i="3"/>
  <c r="U16" i="3"/>
  <c r="W16" i="3"/>
  <c r="V16" i="3"/>
  <c r="Q16" i="3"/>
  <c r="F15" i="4"/>
  <c r="AJ323" i="2"/>
  <c r="AP323" i="2" s="1"/>
  <c r="AJ174" i="2"/>
  <c r="AP174" i="2" s="1"/>
  <c r="AJ95" i="2"/>
  <c r="AP95" i="2" s="1"/>
  <c r="AJ48" i="2"/>
  <c r="AP48" i="2" s="1"/>
  <c r="AJ302" i="2"/>
  <c r="AP302" i="2" s="1"/>
  <c r="AJ326" i="2"/>
  <c r="AP326" i="2" s="1"/>
  <c r="AJ325" i="2"/>
  <c r="AP325" i="2" s="1"/>
  <c r="AJ324" i="2"/>
  <c r="AP324" i="2" s="1"/>
  <c r="AJ12" i="2"/>
  <c r="AP12" i="2" s="1"/>
  <c r="AJ305" i="2"/>
  <c r="AP305" i="2" s="1"/>
  <c r="AJ303" i="2"/>
  <c r="AP303" i="2" s="1"/>
  <c r="AJ304" i="2"/>
  <c r="AP304" i="2" s="1"/>
  <c r="AJ322" i="2"/>
  <c r="AP322" i="2" s="1"/>
  <c r="AJ82" i="2"/>
  <c r="AP82" i="2" s="1"/>
  <c r="AY124" i="2"/>
  <c r="AV124" i="2"/>
  <c r="AW140" i="2"/>
  <c r="AW145" i="2"/>
  <c r="AW184" i="2"/>
  <c r="Y10" i="3"/>
  <c r="AY323" i="2"/>
  <c r="AX323" i="2"/>
  <c r="AW323" i="2"/>
  <c r="AV323" i="2"/>
  <c r="AU323" i="2"/>
  <c r="AT323" i="2"/>
  <c r="AY151" i="2"/>
  <c r="AU151" i="2"/>
  <c r="AQ174" i="2"/>
  <c r="AY174" i="2"/>
  <c r="AX174" i="2"/>
  <c r="AW174" i="2"/>
  <c r="AV174" i="2"/>
  <c r="AT174" i="2"/>
  <c r="AU174" i="2"/>
  <c r="AU68" i="2"/>
  <c r="AW81" i="2"/>
  <c r="AU81" i="2"/>
  <c r="AW95" i="2"/>
  <c r="AX48" i="2"/>
  <c r="AK302" i="2"/>
  <c r="AY302" i="2"/>
  <c r="AX302" i="2"/>
  <c r="AW302" i="2"/>
  <c r="AU302" i="2"/>
  <c r="AT302" i="2"/>
  <c r="AV302" i="2"/>
  <c r="AR326" i="2"/>
  <c r="AY326" i="2"/>
  <c r="AX326" i="2"/>
  <c r="AW326" i="2"/>
  <c r="AU326" i="2"/>
  <c r="AV326" i="2"/>
  <c r="AT326" i="2"/>
  <c r="AW44" i="2"/>
  <c r="AX44" i="2"/>
  <c r="AQ325" i="2"/>
  <c r="AY325" i="2"/>
  <c r="AX325" i="2"/>
  <c r="AW325" i="2"/>
  <c r="AV325" i="2"/>
  <c r="AU325" i="2"/>
  <c r="AT325" i="2"/>
  <c r="AV132" i="2"/>
  <c r="AU132" i="2"/>
  <c r="AI324" i="2"/>
  <c r="AO324" i="2" s="1"/>
  <c r="AW324" i="2"/>
  <c r="AY324" i="2"/>
  <c r="AX324" i="2"/>
  <c r="AV324" i="2"/>
  <c r="AU324" i="2"/>
  <c r="AT324" i="2"/>
  <c r="AU25" i="2"/>
  <c r="AQ16" i="2"/>
  <c r="AU16" i="2"/>
  <c r="AT16" i="2"/>
  <c r="AV62" i="2"/>
  <c r="AW12" i="2"/>
  <c r="AX12" i="2"/>
  <c r="AT12" i="2"/>
  <c r="AQ305" i="2"/>
  <c r="AX305" i="2"/>
  <c r="AW305" i="2"/>
  <c r="AY305" i="2"/>
  <c r="AU305" i="2"/>
  <c r="AV305" i="2"/>
  <c r="AT305" i="2"/>
  <c r="AU153" i="2"/>
  <c r="AY303" i="2"/>
  <c r="AX303" i="2"/>
  <c r="AW303" i="2"/>
  <c r="AT303" i="2"/>
  <c r="AV303" i="2"/>
  <c r="AU303" i="2"/>
  <c r="AY304" i="2"/>
  <c r="AX304" i="2"/>
  <c r="AW304" i="2"/>
  <c r="AV304" i="2"/>
  <c r="AT304" i="2"/>
  <c r="AU304" i="2"/>
  <c r="AV29" i="2"/>
  <c r="AY29" i="2"/>
  <c r="AX29" i="2"/>
  <c r="AR322" i="2"/>
  <c r="AY322" i="2"/>
  <c r="AX322" i="2"/>
  <c r="AW322" i="2"/>
  <c r="AU322" i="2"/>
  <c r="AV322" i="2"/>
  <c r="AT322" i="2"/>
  <c r="AY23" i="2"/>
  <c r="AX23" i="2"/>
  <c r="AU23" i="2"/>
  <c r="AV23" i="2"/>
  <c r="AU93" i="2"/>
  <c r="AV60" i="2"/>
  <c r="AY60" i="2"/>
  <c r="AT92" i="2"/>
  <c r="AY82" i="2"/>
  <c r="AX82" i="2"/>
  <c r="AW82" i="2"/>
  <c r="AV82" i="2"/>
  <c r="AU82" i="2"/>
  <c r="AT82" i="2"/>
  <c r="AU90" i="2"/>
  <c r="AU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AK60" i="2"/>
  <c r="AR184" i="2"/>
  <c r="AQ302" i="2"/>
  <c r="AI174" i="2"/>
  <c r="AO174" i="2" s="1"/>
  <c r="AR302" i="2"/>
  <c r="AR325" i="2"/>
  <c r="AQ95" i="2"/>
  <c r="AK326" i="2"/>
  <c r="AQ88" i="2"/>
  <c r="AI325" i="2"/>
  <c r="AO325" i="2" s="1"/>
  <c r="AI95" i="2"/>
  <c r="AO95" i="2" s="1"/>
  <c r="AK48" i="2"/>
  <c r="AI326" i="2"/>
  <c r="AO326" i="2" s="1"/>
  <c r="AK325" i="2"/>
  <c r="AI302" i="2"/>
  <c r="AO302" i="2" s="1"/>
  <c r="AQ326" i="2"/>
  <c r="AQ82" i="2"/>
  <c r="AI82" i="2"/>
  <c r="AO82" i="2" s="1"/>
  <c r="AK18" i="2"/>
  <c r="AK169" i="2"/>
  <c r="AQ18" i="2"/>
  <c r="AK57" i="2"/>
  <c r="AK324" i="2"/>
  <c r="AQ324" i="2"/>
  <c r="AI165" i="2"/>
  <c r="AO165" i="2" s="1"/>
  <c r="AR324" i="2"/>
  <c r="AR166" i="2"/>
  <c r="AK82" i="2"/>
  <c r="AR33" i="2"/>
  <c r="AI151" i="2"/>
  <c r="AO151" i="2" s="1"/>
  <c r="AR82" i="2"/>
  <c r="AQ36" i="2"/>
  <c r="AQ92" i="2"/>
  <c r="AI322" i="2"/>
  <c r="AO322" i="2" s="1"/>
  <c r="AK322" i="2"/>
  <c r="AQ322" i="2"/>
  <c r="AR36" i="2"/>
  <c r="AK23" i="2"/>
  <c r="AR145" i="2"/>
  <c r="AI124" i="2"/>
  <c r="AO124" i="2" s="1"/>
  <c r="AR119" i="2"/>
  <c r="AR174" i="2"/>
  <c r="AR68" i="2"/>
  <c r="AK174" i="2"/>
  <c r="AR88" i="2"/>
  <c r="AR81" i="2"/>
  <c r="AQ303" i="2"/>
  <c r="AR305" i="2"/>
  <c r="AR303" i="2"/>
  <c r="AK303" i="2"/>
  <c r="AI303" i="2"/>
  <c r="AO303" i="2" s="1"/>
  <c r="AK145" i="2"/>
  <c r="AK29" i="2"/>
  <c r="AK305" i="2"/>
  <c r="AK151" i="2"/>
  <c r="AQ23" i="2"/>
  <c r="AI305" i="2"/>
  <c r="AO305" i="2" s="1"/>
  <c r="AI29" i="2"/>
  <c r="AO29" i="2" s="1"/>
  <c r="AI23" i="2"/>
  <c r="AO23" i="2" s="1"/>
  <c r="AQ145" i="2"/>
  <c r="AI12" i="2"/>
  <c r="AO12" i="2" s="1"/>
  <c r="AQ12" i="2"/>
  <c r="AR124" i="2"/>
  <c r="AK25" i="2"/>
  <c r="AK69" i="2"/>
  <c r="AQ69" i="2"/>
  <c r="AI69" i="2"/>
  <c r="AO69" i="2" s="1"/>
  <c r="AR69" i="2"/>
  <c r="E10" i="4"/>
  <c r="G10" i="4" s="1"/>
  <c r="G19" i="4" s="1"/>
  <c r="F309" i="2"/>
  <c r="AK304" i="2"/>
  <c r="AQ304" i="2"/>
  <c r="AI304" i="2"/>
  <c r="AO304" i="2" s="1"/>
  <c r="AR304" i="2"/>
  <c r="AK323" i="2"/>
  <c r="AI323" i="2"/>
  <c r="AO323" i="2" s="1"/>
  <c r="AQ323" i="2"/>
  <c r="AR323" i="2"/>
  <c r="V18" i="3"/>
  <c r="U18" i="3"/>
  <c r="T18" i="3"/>
  <c r="S18" i="3"/>
  <c r="R18" i="3"/>
  <c r="Q18" i="3"/>
  <c r="W18" i="3"/>
  <c r="AT321" i="2" l="1"/>
  <c r="AX321" i="2"/>
  <c r="AK321" i="2"/>
  <c r="AI321" i="2"/>
  <c r="AO321" i="2" s="1"/>
  <c r="AQ321" i="2"/>
  <c r="AR321" i="2"/>
  <c r="AU321" i="2"/>
  <c r="AV321" i="2"/>
  <c r="AY321" i="2"/>
  <c r="AJ321" i="2"/>
  <c r="AP321" i="2" s="1"/>
  <c r="AW321" i="2"/>
  <c r="AR90" i="2"/>
  <c r="AX173" i="2"/>
  <c r="AH101" i="2"/>
  <c r="AK90" i="2"/>
  <c r="AR161" i="2"/>
  <c r="AY173" i="2"/>
  <c r="AJ173" i="2"/>
  <c r="AP173" i="2" s="1"/>
  <c r="AX90" i="2"/>
  <c r="X16" i="3"/>
  <c r="AX34" i="2"/>
  <c r="AR50" i="2"/>
  <c r="AE264" i="2"/>
  <c r="AH264" i="2" s="1"/>
  <c r="AE280" i="2"/>
  <c r="AH280" i="2" s="1"/>
  <c r="AR31" i="2"/>
  <c r="AJ177" i="2"/>
  <c r="AP177" i="2" s="1"/>
  <c r="M309" i="2"/>
  <c r="N309" i="2"/>
  <c r="AV162" i="2"/>
  <c r="AI162" i="2"/>
  <c r="AO162" i="2" s="1"/>
  <c r="AR34" i="2"/>
  <c r="AE284" i="2"/>
  <c r="AH284" i="2" s="1"/>
  <c r="AI163" i="2"/>
  <c r="AO163" i="2" s="1"/>
  <c r="AT162" i="2"/>
  <c r="AJ34" i="2"/>
  <c r="AP34" i="2" s="1"/>
  <c r="AK162" i="2"/>
  <c r="AY162" i="2"/>
  <c r="AJ162" i="2"/>
  <c r="AP162" i="2" s="1"/>
  <c r="AU175" i="2"/>
  <c r="AU168" i="2"/>
  <c r="AQ43" i="2"/>
  <c r="AE220" i="2"/>
  <c r="AH220" i="2" s="1"/>
  <c r="AJ161" i="2"/>
  <c r="AP161" i="2" s="1"/>
  <c r="AK54" i="2"/>
  <c r="AQ161" i="2"/>
  <c r="AH168" i="2"/>
  <c r="AE224" i="2"/>
  <c r="AH224" i="2" s="1"/>
  <c r="AQ142" i="2"/>
  <c r="AW168" i="2"/>
  <c r="AQ168" i="2"/>
  <c r="AU161" i="2"/>
  <c r="AY161" i="2"/>
  <c r="AX10" i="2"/>
  <c r="AR175" i="2"/>
  <c r="AQ31" i="2"/>
  <c r="AW31" i="2"/>
  <c r="AT177" i="2"/>
  <c r="AK31" i="2"/>
  <c r="AJ31" i="2"/>
  <c r="AP31" i="2" s="1"/>
  <c r="AI10" i="2"/>
  <c r="AO10" i="2" s="1"/>
  <c r="AR177" i="2"/>
  <c r="AW177" i="2"/>
  <c r="AK10" i="2"/>
  <c r="AU43" i="2"/>
  <c r="AK177" i="2"/>
  <c r="AX175" i="2"/>
  <c r="AV152" i="2"/>
  <c r="AY152" i="2"/>
  <c r="AQ152" i="2"/>
  <c r="AI157" i="2"/>
  <c r="AO157" i="2" s="1"/>
  <c r="AK178" i="2"/>
  <c r="AK152" i="2"/>
  <c r="AQ30" i="2"/>
  <c r="AK120" i="2"/>
  <c r="AR42" i="2"/>
  <c r="AQ58" i="2"/>
  <c r="AW58" i="2"/>
  <c r="AY34" i="2"/>
  <c r="AQ34" i="2"/>
  <c r="AI154" i="2"/>
  <c r="AO154" i="2" s="1"/>
  <c r="AX94" i="2"/>
  <c r="AI34" i="2"/>
  <c r="AO34" i="2" s="1"/>
  <c r="AT34" i="2"/>
  <c r="AQ94" i="2"/>
  <c r="AT94" i="2"/>
  <c r="AU34" i="2"/>
  <c r="AV34" i="2"/>
  <c r="AK34" i="2"/>
  <c r="AW34" i="2"/>
  <c r="AJ94" i="2"/>
  <c r="AP94" i="2" s="1"/>
  <c r="AH144" i="2"/>
  <c r="AI144" i="2"/>
  <c r="AO144" i="2" s="1"/>
  <c r="AI9" i="2"/>
  <c r="AO9" i="2" s="1"/>
  <c r="AH9" i="2"/>
  <c r="AW9" i="2"/>
  <c r="AQ136" i="2"/>
  <c r="AR136" i="2"/>
  <c r="AH136" i="2"/>
  <c r="AK136" i="2"/>
  <c r="AI136" i="2"/>
  <c r="AO136" i="2" s="1"/>
  <c r="AV76" i="2"/>
  <c r="AX76" i="2"/>
  <c r="AH76" i="2"/>
  <c r="AQ76" i="2"/>
  <c r="AR76" i="2"/>
  <c r="AD201" i="2"/>
  <c r="AE201" i="2" s="1"/>
  <c r="AH201" i="2" s="1"/>
  <c r="AD232" i="2"/>
  <c r="AE232" i="2" s="1"/>
  <c r="AH232" i="2" s="1"/>
  <c r="AD192" i="2"/>
  <c r="AE192" i="2" s="1"/>
  <c r="AH192" i="2" s="1"/>
  <c r="AD230" i="2"/>
  <c r="AE230" i="2" s="1"/>
  <c r="AH230" i="2" s="1"/>
  <c r="AD198" i="2"/>
  <c r="AE198" i="2" s="1"/>
  <c r="AH198" i="2" s="1"/>
  <c r="AD228" i="2"/>
  <c r="AE228" i="2" s="1"/>
  <c r="AH228" i="2" s="1"/>
  <c r="AD238" i="2"/>
  <c r="AE238" i="2" s="1"/>
  <c r="AH238" i="2" s="1"/>
  <c r="AD200" i="2"/>
  <c r="AE200" i="2" s="1"/>
  <c r="AH200" i="2" s="1"/>
  <c r="AD196" i="2"/>
  <c r="AE196" i="2" s="1"/>
  <c r="AH196" i="2" s="1"/>
  <c r="AD241" i="2"/>
  <c r="AE241" i="2" s="1"/>
  <c r="AH241" i="2" s="1"/>
  <c r="AD234" i="2"/>
  <c r="AE234" i="2" s="1"/>
  <c r="AH234" i="2" s="1"/>
  <c r="AD300" i="2"/>
  <c r="AD252" i="2"/>
  <c r="AE252" i="2" s="1"/>
  <c r="AH252" i="2" s="1"/>
  <c r="AD197" i="2"/>
  <c r="AE197" i="2" s="1"/>
  <c r="AH197" i="2" s="1"/>
  <c r="AD254" i="2"/>
  <c r="AE254" i="2" s="1"/>
  <c r="AH254" i="2" s="1"/>
  <c r="AD248" i="2"/>
  <c r="AE248" i="2" s="1"/>
  <c r="AH248" i="2" s="1"/>
  <c r="AD240" i="2"/>
  <c r="AE240" i="2" s="1"/>
  <c r="AH240" i="2" s="1"/>
  <c r="AD242" i="2"/>
  <c r="AE242" i="2" s="1"/>
  <c r="AH242" i="2" s="1"/>
  <c r="AD202" i="2"/>
  <c r="AE202" i="2" s="1"/>
  <c r="AH202" i="2" s="1"/>
  <c r="AD245" i="2"/>
  <c r="AE245" i="2" s="1"/>
  <c r="AH245" i="2" s="1"/>
  <c r="AD229" i="2"/>
  <c r="AE229" i="2" s="1"/>
  <c r="AH229" i="2" s="1"/>
  <c r="AD193" i="2"/>
  <c r="AE193" i="2" s="1"/>
  <c r="AH193" i="2" s="1"/>
  <c r="AD199" i="2"/>
  <c r="AE199" i="2" s="1"/>
  <c r="AH199" i="2" s="1"/>
  <c r="AD231" i="2"/>
  <c r="AE231" i="2" s="1"/>
  <c r="AH231" i="2" s="1"/>
  <c r="AD250" i="2"/>
  <c r="AE250" i="2" s="1"/>
  <c r="AH250" i="2" s="1"/>
  <c r="AD236" i="2"/>
  <c r="AE236" i="2" s="1"/>
  <c r="AH236" i="2" s="1"/>
  <c r="AD249" i="2"/>
  <c r="AE249" i="2" s="1"/>
  <c r="AH249" i="2" s="1"/>
  <c r="AD194" i="2"/>
  <c r="AE194" i="2" s="1"/>
  <c r="AH194" i="2" s="1"/>
  <c r="AD244" i="2"/>
  <c r="AE244" i="2" s="1"/>
  <c r="AH244" i="2" s="1"/>
  <c r="AD237" i="2"/>
  <c r="AE237" i="2" s="1"/>
  <c r="AH237" i="2" s="1"/>
  <c r="AD204" i="2"/>
  <c r="AE204" i="2" s="1"/>
  <c r="AH204" i="2" s="1"/>
  <c r="AD246" i="2"/>
  <c r="AE246" i="2" s="1"/>
  <c r="AH246" i="2" s="1"/>
  <c r="AD233" i="2"/>
  <c r="AE233" i="2" s="1"/>
  <c r="AH233" i="2" s="1"/>
  <c r="AD308" i="2"/>
  <c r="AE308" i="2" s="1"/>
  <c r="AG308" i="2" s="1"/>
  <c r="AH308" i="2" s="1"/>
  <c r="AR29" i="2"/>
  <c r="AQ29" i="2"/>
  <c r="AT29" i="2"/>
  <c r="AK91" i="2"/>
  <c r="AU29" i="2"/>
  <c r="AW29" i="2"/>
  <c r="AJ29" i="2"/>
  <c r="AP29" i="2" s="1"/>
  <c r="AQ81" i="2"/>
  <c r="AU9" i="2"/>
  <c r="AY81" i="2"/>
  <c r="AY9" i="2"/>
  <c r="AV81" i="2"/>
  <c r="AR11" i="2"/>
  <c r="AX9" i="2"/>
  <c r="AX81" i="2"/>
  <c r="AJ9" i="2"/>
  <c r="AP9" i="2" s="1"/>
  <c r="AI81" i="2"/>
  <c r="AO81" i="2" s="1"/>
  <c r="AK81" i="2"/>
  <c r="AJ81" i="2"/>
  <c r="AP81" i="2" s="1"/>
  <c r="AQ9" i="2"/>
  <c r="AT81" i="2"/>
  <c r="AH75" i="2"/>
  <c r="AI75" i="2"/>
  <c r="AO75" i="2" s="1"/>
  <c r="AR75" i="2"/>
  <c r="AY93" i="2"/>
  <c r="AT59" i="2"/>
  <c r="AI93" i="2"/>
  <c r="AO93" i="2" s="1"/>
  <c r="AQ93" i="2"/>
  <c r="AU179" i="2"/>
  <c r="AQ127" i="2"/>
  <c r="AY183" i="2"/>
  <c r="AT127" i="2"/>
  <c r="AW127" i="2"/>
  <c r="AH27" i="2"/>
  <c r="AT27" i="2"/>
  <c r="AQ27" i="2"/>
  <c r="AU27" i="2"/>
  <c r="AJ27" i="2"/>
  <c r="AP27" i="2" s="1"/>
  <c r="AK27" i="2"/>
  <c r="AR27" i="2"/>
  <c r="AY27" i="2"/>
  <c r="AW27" i="2"/>
  <c r="AX27" i="2"/>
  <c r="AI27" i="2"/>
  <c r="AO27" i="2" s="1"/>
  <c r="AV27" i="2"/>
  <c r="AH121" i="2"/>
  <c r="AQ121" i="2"/>
  <c r="AK121" i="2"/>
  <c r="AY121" i="2"/>
  <c r="AT121" i="2"/>
  <c r="AH111" i="2"/>
  <c r="AU111" i="2"/>
  <c r="AR111" i="2"/>
  <c r="AY111" i="2"/>
  <c r="AH19" i="2"/>
  <c r="AK19" i="2"/>
  <c r="AW19" i="2"/>
  <c r="AY19" i="2"/>
  <c r="AH39" i="2"/>
  <c r="AI39" i="2"/>
  <c r="AO39" i="2" s="1"/>
  <c r="AH137" i="2"/>
  <c r="AR137" i="2"/>
  <c r="AU137" i="2"/>
  <c r="AH159" i="2"/>
  <c r="AK159" i="2"/>
  <c r="AU159" i="2"/>
  <c r="AI159" i="2"/>
  <c r="AO159" i="2" s="1"/>
  <c r="AH115" i="2"/>
  <c r="AX115" i="2"/>
  <c r="AH99" i="2"/>
  <c r="AU99" i="2"/>
  <c r="AH143" i="2"/>
  <c r="AI143" i="2"/>
  <c r="AO143" i="2" s="1"/>
  <c r="AQ32" i="2"/>
  <c r="AT43" i="2"/>
  <c r="AJ43" i="2"/>
  <c r="AP43" i="2" s="1"/>
  <c r="AH251" i="2"/>
  <c r="AH195" i="2"/>
  <c r="AH239" i="2"/>
  <c r="AH235" i="2"/>
  <c r="AI32" i="2"/>
  <c r="AO32" i="2" s="1"/>
  <c r="AV43" i="2"/>
  <c r="AK43" i="2"/>
  <c r="AW43" i="2"/>
  <c r="AY32" i="2"/>
  <c r="Y16" i="3"/>
  <c r="AH247" i="2"/>
  <c r="AH299" i="2"/>
  <c r="AH243" i="2"/>
  <c r="AH191" i="2"/>
  <c r="AX43" i="2"/>
  <c r="AX32" i="2"/>
  <c r="AH203" i="2"/>
  <c r="AY43" i="2"/>
  <c r="AI43" i="2"/>
  <c r="AO43" i="2" s="1"/>
  <c r="AR43" i="2"/>
  <c r="AH253" i="2"/>
  <c r="AH227" i="2"/>
  <c r="AQ15" i="2"/>
  <c r="AI44" i="2"/>
  <c r="AO44" i="2" s="1"/>
  <c r="AK44" i="2"/>
  <c r="AW157" i="2"/>
  <c r="AK175" i="2"/>
  <c r="AX162" i="2"/>
  <c r="AY16" i="2"/>
  <c r="AU44" i="2"/>
  <c r="AV151" i="2"/>
  <c r="AU94" i="2"/>
  <c r="AJ57" i="2"/>
  <c r="AP57" i="2" s="1"/>
  <c r="AR94" i="2"/>
  <c r="AI76" i="2"/>
  <c r="AO76" i="2" s="1"/>
  <c r="AR57" i="2"/>
  <c r="AI36" i="2"/>
  <c r="AO36" i="2" s="1"/>
  <c r="AQ57" i="2"/>
  <c r="AQ44" i="2"/>
  <c r="AT76" i="2"/>
  <c r="AT175" i="2"/>
  <c r="AU57" i="2"/>
  <c r="AV16" i="2"/>
  <c r="AY44" i="2"/>
  <c r="AK67" i="2"/>
  <c r="AW151" i="2"/>
  <c r="AV94" i="2"/>
  <c r="AJ151" i="2"/>
  <c r="AP151" i="2" s="1"/>
  <c r="AI175" i="2"/>
  <c r="AO175" i="2" s="1"/>
  <c r="AK76" i="2"/>
  <c r="AU76" i="2"/>
  <c r="AV175" i="2"/>
  <c r="AW16" i="2"/>
  <c r="AV44" i="2"/>
  <c r="AX151" i="2"/>
  <c r="AW94" i="2"/>
  <c r="AJ16" i="2"/>
  <c r="AP16" i="2" s="1"/>
  <c r="AJ44" i="2"/>
  <c r="AP44" i="2" s="1"/>
  <c r="AQ162" i="2"/>
  <c r="AI94" i="2"/>
  <c r="AO94" i="2" s="1"/>
  <c r="AR18" i="2"/>
  <c r="AR16" i="2"/>
  <c r="AY76" i="2"/>
  <c r="AW175" i="2"/>
  <c r="AU162" i="2"/>
  <c r="AW18" i="2"/>
  <c r="AT50" i="2"/>
  <c r="AR44" i="2"/>
  <c r="AQ151" i="2"/>
  <c r="AY94" i="2"/>
  <c r="AR162" i="2"/>
  <c r="AK94" i="2"/>
  <c r="AR151" i="2"/>
  <c r="AQ175" i="2"/>
  <c r="AR138" i="2"/>
  <c r="AI57" i="2"/>
  <c r="AO57" i="2" s="1"/>
  <c r="AK16" i="2"/>
  <c r="AI16" i="2"/>
  <c r="AO16" i="2" s="1"/>
  <c r="AK36" i="2"/>
  <c r="AQ172" i="2"/>
  <c r="AW76" i="2"/>
  <c r="AY175" i="2"/>
  <c r="AW162" i="2"/>
  <c r="AX16" i="2"/>
  <c r="AT44" i="2"/>
  <c r="AT151" i="2"/>
  <c r="AJ76" i="2"/>
  <c r="AP76" i="2" s="1"/>
  <c r="AJ175" i="2"/>
  <c r="AP175" i="2" s="1"/>
  <c r="AU31" i="2"/>
  <c r="AR13" i="2"/>
  <c r="AY24" i="2"/>
  <c r="AQ106" i="2"/>
  <c r="AX113" i="2"/>
  <c r="AY20" i="2"/>
  <c r="AJ24" i="2"/>
  <c r="AP24" i="2" s="1"/>
  <c r="AX24" i="2"/>
  <c r="AQ24" i="2"/>
  <c r="AK22" i="2"/>
  <c r="AR106" i="2"/>
  <c r="AK13" i="2"/>
  <c r="AV113" i="2"/>
  <c r="AV49" i="2"/>
  <c r="AY22" i="2"/>
  <c r="AX20" i="2"/>
  <c r="AI24" i="2"/>
  <c r="AO24" i="2" s="1"/>
  <c r="AW122" i="2"/>
  <c r="AK24" i="2"/>
  <c r="AJ106" i="2"/>
  <c r="AP106" i="2" s="1"/>
  <c r="AI106" i="2"/>
  <c r="AO106" i="2" s="1"/>
  <c r="AV106" i="2"/>
  <c r="AJ113" i="2"/>
  <c r="AP113" i="2" s="1"/>
  <c r="AR113" i="2"/>
  <c r="AW106" i="2"/>
  <c r="AQ20" i="2"/>
  <c r="AI49" i="2"/>
  <c r="AO49" i="2" s="1"/>
  <c r="AY49" i="2"/>
  <c r="AU22" i="2"/>
  <c r="AW13" i="2"/>
  <c r="AR20" i="2"/>
  <c r="AQ122" i="2"/>
  <c r="AQ13" i="2"/>
  <c r="AW113" i="2"/>
  <c r="AU49" i="2"/>
  <c r="AX22" i="2"/>
  <c r="AV13" i="2"/>
  <c r="AT24" i="2"/>
  <c r="AU106" i="2"/>
  <c r="AU20" i="2"/>
  <c r="AQ22" i="2"/>
  <c r="AI20" i="2"/>
  <c r="AO20" i="2" s="1"/>
  <c r="AK106" i="2"/>
  <c r="AR49" i="2"/>
  <c r="AQ49" i="2"/>
  <c r="AW49" i="2"/>
  <c r="AT13" i="2"/>
  <c r="AU24" i="2"/>
  <c r="AX106" i="2"/>
  <c r="AV20" i="2"/>
  <c r="AJ20" i="2"/>
  <c r="AP20" i="2" s="1"/>
  <c r="AI22" i="2"/>
  <c r="AO22" i="2" s="1"/>
  <c r="AI113" i="2"/>
  <c r="AO113" i="2" s="1"/>
  <c r="AK113" i="2"/>
  <c r="AR24" i="2"/>
  <c r="AT113" i="2"/>
  <c r="AX49" i="2"/>
  <c r="AT22" i="2"/>
  <c r="AU13" i="2"/>
  <c r="AV24" i="2"/>
  <c r="AY106" i="2"/>
  <c r="AW20" i="2"/>
  <c r="AR22" i="2"/>
  <c r="AQ113" i="2"/>
  <c r="AU113" i="2"/>
  <c r="AK49" i="2"/>
  <c r="AV22" i="2"/>
  <c r="AY13" i="2"/>
  <c r="AW24" i="2"/>
  <c r="AK20" i="2"/>
  <c r="AJ22" i="2"/>
  <c r="AP22" i="2" s="1"/>
  <c r="AJ49" i="2"/>
  <c r="AP49" i="2" s="1"/>
  <c r="AI187" i="2"/>
  <c r="AO187" i="2" s="1"/>
  <c r="AI13" i="2"/>
  <c r="AO13" i="2" s="1"/>
  <c r="AX122" i="2"/>
  <c r="AY113" i="2"/>
  <c r="AT49" i="2"/>
  <c r="AW22" i="2"/>
  <c r="AX13" i="2"/>
  <c r="AT106" i="2"/>
  <c r="AT20" i="2"/>
  <c r="AJ122" i="2"/>
  <c r="AP122" i="2" s="1"/>
  <c r="AY87" i="2"/>
  <c r="AK98" i="2"/>
  <c r="AT67" i="2"/>
  <c r="AR187" i="2"/>
  <c r="AI166" i="2"/>
  <c r="AO166" i="2" s="1"/>
  <c r="AV170" i="2"/>
  <c r="AR9" i="2"/>
  <c r="AQ165" i="2"/>
  <c r="AK100" i="2"/>
  <c r="AR23" i="2"/>
  <c r="AK9" i="2"/>
  <c r="AV153" i="2"/>
  <c r="AV103" i="2"/>
  <c r="AI127" i="2"/>
  <c r="AO127" i="2" s="1"/>
  <c r="AU86" i="2"/>
  <c r="AJ23" i="2"/>
  <c r="AP23" i="2" s="1"/>
  <c r="AR153" i="2"/>
  <c r="AI88" i="2"/>
  <c r="AO88" i="2" s="1"/>
  <c r="AX153" i="2"/>
  <c r="AT154" i="2"/>
  <c r="AY103" i="2"/>
  <c r="AX88" i="2"/>
  <c r="AX86" i="2"/>
  <c r="AJ87" i="2"/>
  <c r="AP87" i="2" s="1"/>
  <c r="AR144" i="2"/>
  <c r="AK138" i="2"/>
  <c r="AT23" i="2"/>
  <c r="AT157" i="2"/>
  <c r="AT9" i="2"/>
  <c r="AV171" i="2"/>
  <c r="AT83" i="2"/>
  <c r="AU87" i="2"/>
  <c r="AK144" i="2"/>
  <c r="AR10" i="2"/>
  <c r="AQ50" i="2"/>
  <c r="AK154" i="2"/>
  <c r="AR127" i="2"/>
  <c r="AW23" i="2"/>
  <c r="AV9" i="2"/>
  <c r="AU58" i="2"/>
  <c r="AW50" i="2"/>
  <c r="AX67" i="2"/>
  <c r="AQ124" i="2"/>
  <c r="AK171" i="2"/>
  <c r="AK157" i="2"/>
  <c r="AK140" i="2"/>
  <c r="AI153" i="2"/>
  <c r="AO153" i="2" s="1"/>
  <c r="AK87" i="2"/>
  <c r="AI161" i="2"/>
  <c r="AO161" i="2" s="1"/>
  <c r="AI152" i="2"/>
  <c r="AO152" i="2" s="1"/>
  <c r="AI138" i="2"/>
  <c r="AO138" i="2" s="1"/>
  <c r="AQ177" i="2"/>
  <c r="AI103" i="2"/>
  <c r="AO103" i="2" s="1"/>
  <c r="AI90" i="2"/>
  <c r="AO90" i="2" s="1"/>
  <c r="AR67" i="2"/>
  <c r="AI67" i="2"/>
  <c r="AO67" i="2" s="1"/>
  <c r="AR121" i="2"/>
  <c r="AY138" i="2"/>
  <c r="AT152" i="2"/>
  <c r="AT168" i="2"/>
  <c r="AX157" i="2"/>
  <c r="AY153" i="2"/>
  <c r="AY12" i="2"/>
  <c r="AT103" i="2"/>
  <c r="AU121" i="2"/>
  <c r="AW83" i="2"/>
  <c r="AT161" i="2"/>
  <c r="AU50" i="2"/>
  <c r="AT32" i="2"/>
  <c r="AT111" i="2"/>
  <c r="AT87" i="2"/>
  <c r="AU19" i="2"/>
  <c r="AX31" i="2"/>
  <c r="AW124" i="2"/>
  <c r="AJ157" i="2"/>
  <c r="AP157" i="2" s="1"/>
  <c r="AJ50" i="2"/>
  <c r="AP50" i="2" s="1"/>
  <c r="AJ150" i="2"/>
  <c r="AP150" i="2" s="1"/>
  <c r="AJ19" i="2"/>
  <c r="AP19" i="2" s="1"/>
  <c r="AI111" i="2"/>
  <c r="AO111" i="2" s="1"/>
  <c r="AQ178" i="2"/>
  <c r="AR12" i="2"/>
  <c r="AS12" i="2" s="1"/>
  <c r="AQ157" i="2"/>
  <c r="AI50" i="2"/>
  <c r="AO50" i="2" s="1"/>
  <c r="AK50" i="2"/>
  <c r="AT90" i="2"/>
  <c r="AU152" i="2"/>
  <c r="AT93" i="2"/>
  <c r="AV168" i="2"/>
  <c r="AY157" i="2"/>
  <c r="AW153" i="2"/>
  <c r="AV12" i="2"/>
  <c r="AU103" i="2"/>
  <c r="AV121" i="2"/>
  <c r="AU177" i="2"/>
  <c r="AV161" i="2"/>
  <c r="AV50" i="2"/>
  <c r="AU32" i="2"/>
  <c r="AU67" i="2"/>
  <c r="AV111" i="2"/>
  <c r="AV87" i="2"/>
  <c r="AT19" i="2"/>
  <c r="AY31" i="2"/>
  <c r="AK124" i="2"/>
  <c r="AJ90" i="2"/>
  <c r="AP90" i="2" s="1"/>
  <c r="AI17" i="2"/>
  <c r="AO17" i="2" s="1"/>
  <c r="AK93" i="2"/>
  <c r="AR140" i="2"/>
  <c r="AR93" i="2"/>
  <c r="AK161" i="2"/>
  <c r="AR100" i="2"/>
  <c r="AR159" i="2"/>
  <c r="AQ159" i="2"/>
  <c r="AR32" i="2"/>
  <c r="AQ103" i="2"/>
  <c r="AR87" i="2"/>
  <c r="AV90" i="2"/>
  <c r="AW152" i="2"/>
  <c r="AW93" i="2"/>
  <c r="AX168" i="2"/>
  <c r="AQ153" i="2"/>
  <c r="AK12" i="2"/>
  <c r="AN12" i="2" s="1"/>
  <c r="AW103" i="2"/>
  <c r="AW121" i="2"/>
  <c r="AV177" i="2"/>
  <c r="AW161" i="2"/>
  <c r="AX50" i="2"/>
  <c r="AV32" i="2"/>
  <c r="AV67" i="2"/>
  <c r="AW111" i="2"/>
  <c r="AW87" i="2"/>
  <c r="AX19" i="2"/>
  <c r="AT124" i="2"/>
  <c r="AJ152" i="2"/>
  <c r="AP152" i="2" s="1"/>
  <c r="AJ67" i="2"/>
  <c r="AP67" i="2" s="1"/>
  <c r="AJ140" i="2"/>
  <c r="AP140" i="2" s="1"/>
  <c r="AK111" i="2"/>
  <c r="AI178" i="2"/>
  <c r="AO178" i="2" s="1"/>
  <c r="AK153" i="2"/>
  <c r="AK168" i="2"/>
  <c r="AI168" i="2"/>
  <c r="AO168" i="2" s="1"/>
  <c r="AI19" i="2"/>
  <c r="AO19" i="2" s="1"/>
  <c r="AI177" i="2"/>
  <c r="AO177" i="2" s="1"/>
  <c r="AR103" i="2"/>
  <c r="AI31" i="2"/>
  <c r="AO31" i="2" s="1"/>
  <c r="AW90" i="2"/>
  <c r="AX152" i="2"/>
  <c r="AX93" i="2"/>
  <c r="AY168" i="2"/>
  <c r="AU157" i="2"/>
  <c r="AU171" i="2"/>
  <c r="AX103" i="2"/>
  <c r="AX121" i="2"/>
  <c r="AY177" i="2"/>
  <c r="AX161" i="2"/>
  <c r="AY50" i="2"/>
  <c r="AW32" i="2"/>
  <c r="AW67" i="2"/>
  <c r="AX111" i="2"/>
  <c r="AX87" i="2"/>
  <c r="AV19" i="2"/>
  <c r="AT31" i="2"/>
  <c r="AU124" i="2"/>
  <c r="AJ93" i="2"/>
  <c r="AP93" i="2" s="1"/>
  <c r="AJ111" i="2"/>
  <c r="AP111" i="2" s="1"/>
  <c r="AQ111" i="2"/>
  <c r="AQ87" i="2"/>
  <c r="AR19" i="2"/>
  <c r="AR157" i="2"/>
  <c r="AQ90" i="2"/>
  <c r="AI121" i="2"/>
  <c r="AO121" i="2" s="1"/>
  <c r="AQ67" i="2"/>
  <c r="AY90" i="2"/>
  <c r="AR152" i="2"/>
  <c r="AV93" i="2"/>
  <c r="AV157" i="2"/>
  <c r="AT153" i="2"/>
  <c r="AU12" i="2"/>
  <c r="AK103" i="2"/>
  <c r="AX177" i="2"/>
  <c r="AU101" i="2"/>
  <c r="AK32" i="2"/>
  <c r="AY150" i="2"/>
  <c r="AY67" i="2"/>
  <c r="AV68" i="2"/>
  <c r="AI87" i="2"/>
  <c r="AO87" i="2" s="1"/>
  <c r="AQ19" i="2"/>
  <c r="AV31" i="2"/>
  <c r="AX124" i="2"/>
  <c r="AJ168" i="2"/>
  <c r="AP168" i="2" s="1"/>
  <c r="AJ121" i="2"/>
  <c r="AP121" i="2" s="1"/>
  <c r="AJ32" i="2"/>
  <c r="AP32" i="2" s="1"/>
  <c r="AJ124" i="2"/>
  <c r="AP124" i="2" s="1"/>
  <c r="AV122" i="2"/>
  <c r="AY122" i="2"/>
  <c r="AK122" i="2"/>
  <c r="AR122" i="2"/>
  <c r="AJ142" i="2"/>
  <c r="AP142" i="2" s="1"/>
  <c r="AT122" i="2"/>
  <c r="AI122" i="2"/>
  <c r="AO122" i="2" s="1"/>
  <c r="AU122" i="2"/>
  <c r="AX68" i="2"/>
  <c r="AY68" i="2"/>
  <c r="AW68" i="2"/>
  <c r="AK68" i="2"/>
  <c r="AQ68" i="2"/>
  <c r="AJ68" i="2"/>
  <c r="AP68" i="2" s="1"/>
  <c r="AI68" i="2"/>
  <c r="AO68" i="2" s="1"/>
  <c r="AT68" i="2"/>
  <c r="AQ83" i="2"/>
  <c r="AR171" i="2"/>
  <c r="AI133" i="2"/>
  <c r="AO133" i="2" s="1"/>
  <c r="AR150" i="2"/>
  <c r="AW171" i="2"/>
  <c r="AX83" i="2"/>
  <c r="AV150" i="2"/>
  <c r="AQ133" i="2"/>
  <c r="AX171" i="2"/>
  <c r="AY83" i="2"/>
  <c r="AU150" i="2"/>
  <c r="AR133" i="2"/>
  <c r="AY171" i="2"/>
  <c r="AI83" i="2"/>
  <c r="AO83" i="2" s="1"/>
  <c r="AT150" i="2"/>
  <c r="AJ83" i="2"/>
  <c r="AP83" i="2" s="1"/>
  <c r="AK17" i="2"/>
  <c r="AK83" i="2"/>
  <c r="AQ17" i="2"/>
  <c r="AI171" i="2"/>
  <c r="AO171" i="2" s="1"/>
  <c r="AQ64" i="2"/>
  <c r="AW150" i="2"/>
  <c r="AR83" i="2"/>
  <c r="AI98" i="2"/>
  <c r="AO98" i="2" s="1"/>
  <c r="AQ171" i="2"/>
  <c r="AU83" i="2"/>
  <c r="AX150" i="2"/>
  <c r="AR17" i="2"/>
  <c r="AI150" i="2"/>
  <c r="AO150" i="2" s="1"/>
  <c r="AQ150" i="2"/>
  <c r="AT171" i="2"/>
  <c r="AV83" i="2"/>
  <c r="AK150" i="2"/>
  <c r="AY30" i="2"/>
  <c r="AX133" i="2"/>
  <c r="AJ138" i="2"/>
  <c r="AP138" i="2" s="1"/>
  <c r="AJ103" i="2"/>
  <c r="AP103" i="2" s="1"/>
  <c r="AK64" i="2"/>
  <c r="AR98" i="2"/>
  <c r="AW64" i="2"/>
  <c r="AJ153" i="2"/>
  <c r="AP153" i="2" s="1"/>
  <c r="AQ98" i="2"/>
  <c r="AJ171" i="2"/>
  <c r="AP171" i="2" s="1"/>
  <c r="AY28" i="2"/>
  <c r="AU143" i="2"/>
  <c r="AU130" i="2"/>
  <c r="AK62" i="2"/>
  <c r="AQ184" i="2"/>
  <c r="AX63" i="2"/>
  <c r="AW62" i="2"/>
  <c r="AY25" i="2"/>
  <c r="AT179" i="2"/>
  <c r="AW170" i="2"/>
  <c r="AX95" i="2"/>
  <c r="AT119" i="2"/>
  <c r="AX184" i="2"/>
  <c r="AJ184" i="2"/>
  <c r="AP184" i="2" s="1"/>
  <c r="AI184" i="2"/>
  <c r="AO184" i="2" s="1"/>
  <c r="AK119" i="2"/>
  <c r="AQ170" i="2"/>
  <c r="AK170" i="2"/>
  <c r="AK92" i="2"/>
  <c r="AU33" i="2"/>
  <c r="AX92" i="2"/>
  <c r="AX62" i="2"/>
  <c r="AV25" i="2"/>
  <c r="AV179" i="2"/>
  <c r="AX170" i="2"/>
  <c r="AY95" i="2"/>
  <c r="AY184" i="2"/>
  <c r="AI52" i="2"/>
  <c r="AO52" i="2" s="1"/>
  <c r="AQ75" i="2"/>
  <c r="AU92" i="2"/>
  <c r="AI128" i="2"/>
  <c r="AO128" i="2" s="1"/>
  <c r="AK63" i="2"/>
  <c r="AK179" i="2"/>
  <c r="AR169" i="2"/>
  <c r="AR95" i="2"/>
  <c r="AS95" i="2" s="1"/>
  <c r="AY33" i="2"/>
  <c r="AY92" i="2"/>
  <c r="AI169" i="2"/>
  <c r="AO169" i="2" s="1"/>
  <c r="AY62" i="2"/>
  <c r="AY56" i="2"/>
  <c r="AW25" i="2"/>
  <c r="AW179" i="2"/>
  <c r="AY170" i="2"/>
  <c r="AK95" i="2"/>
  <c r="AN95" i="2" s="1"/>
  <c r="AK184" i="2"/>
  <c r="AI135" i="2"/>
  <c r="AO135" i="2" s="1"/>
  <c r="AK52" i="2"/>
  <c r="AT33" i="2"/>
  <c r="AQ80" i="2"/>
  <c r="AQ52" i="2"/>
  <c r="AK80" i="2"/>
  <c r="AQ179" i="2"/>
  <c r="AR80" i="2"/>
  <c r="AV33" i="2"/>
  <c r="AV92" i="2"/>
  <c r="AQ62" i="2"/>
  <c r="AX25" i="2"/>
  <c r="AX179" i="2"/>
  <c r="AR170" i="2"/>
  <c r="AJ25" i="2"/>
  <c r="AP25" i="2" s="1"/>
  <c r="AJ179" i="2"/>
  <c r="AP179" i="2" s="1"/>
  <c r="AR92" i="2"/>
  <c r="AR62" i="2"/>
  <c r="AI25" i="2"/>
  <c r="AO25" i="2" s="1"/>
  <c r="AQ128" i="2"/>
  <c r="AK135" i="2"/>
  <c r="AI63" i="2"/>
  <c r="AO63" i="2" s="1"/>
  <c r="AI170" i="2"/>
  <c r="AO170" i="2" s="1"/>
  <c r="AW33" i="2"/>
  <c r="AW92" i="2"/>
  <c r="AY80" i="2"/>
  <c r="AR25" i="2"/>
  <c r="AY179" i="2"/>
  <c r="AW52" i="2"/>
  <c r="AT95" i="2"/>
  <c r="AU184" i="2"/>
  <c r="AJ62" i="2"/>
  <c r="AP62" i="2" s="1"/>
  <c r="AX33" i="2"/>
  <c r="AI92" i="2"/>
  <c r="AO92" i="2" s="1"/>
  <c r="AU62" i="2"/>
  <c r="AR179" i="2"/>
  <c r="AT170" i="2"/>
  <c r="AU95" i="2"/>
  <c r="AT184" i="2"/>
  <c r="AJ33" i="2"/>
  <c r="AP33" i="2" s="1"/>
  <c r="AJ170" i="2"/>
  <c r="AP170" i="2" s="1"/>
  <c r="AI62" i="2"/>
  <c r="AO62" i="2" s="1"/>
  <c r="AK128" i="2"/>
  <c r="AK75" i="2"/>
  <c r="AQ33" i="2"/>
  <c r="AQ25" i="2"/>
  <c r="AI179" i="2"/>
  <c r="AO179" i="2" s="1"/>
  <c r="AK33" i="2"/>
  <c r="AI33" i="2"/>
  <c r="AO33" i="2" s="1"/>
  <c r="AT62" i="2"/>
  <c r="AT25" i="2"/>
  <c r="AU170" i="2"/>
  <c r="AV95" i="2"/>
  <c r="AV184" i="2"/>
  <c r="AJ92" i="2"/>
  <c r="AP92" i="2" s="1"/>
  <c r="AI89" i="2"/>
  <c r="AO89" i="2" s="1"/>
  <c r="AV143" i="2"/>
  <c r="AQ28" i="2"/>
  <c r="AK42" i="2"/>
  <c r="AK143" i="2"/>
  <c r="AR15" i="2"/>
  <c r="AR79" i="2"/>
  <c r="AQ167" i="2"/>
  <c r="AY11" i="2"/>
  <c r="AJ13" i="2"/>
  <c r="AP13" i="2" s="1"/>
  <c r="AK99" i="2"/>
  <c r="AQ137" i="2"/>
  <c r="AK58" i="2"/>
  <c r="AR26" i="2"/>
  <c r="AK26" i="2"/>
  <c r="AR165" i="2"/>
  <c r="AT58" i="2"/>
  <c r="AY127" i="2"/>
  <c r="AQ86" i="2"/>
  <c r="AT137" i="2"/>
  <c r="AJ86" i="2"/>
  <c r="AP86" i="2" s="1"/>
  <c r="AK127" i="2"/>
  <c r="AY89" i="2"/>
  <c r="AV58" i="2"/>
  <c r="AV86" i="2"/>
  <c r="AV137" i="2"/>
  <c r="AJ58" i="2"/>
  <c r="AP58" i="2" s="1"/>
  <c r="AW167" i="2"/>
  <c r="AY26" i="2"/>
  <c r="AI28" i="2"/>
  <c r="AO28" i="2" s="1"/>
  <c r="AK28" i="2"/>
  <c r="AI58" i="2"/>
  <c r="AO58" i="2" s="1"/>
  <c r="AQ21" i="2"/>
  <c r="AR89" i="2"/>
  <c r="AR86" i="2"/>
  <c r="AI21" i="2"/>
  <c r="AO21" i="2" s="1"/>
  <c r="AX58" i="2"/>
  <c r="AU127" i="2"/>
  <c r="AT86" i="2"/>
  <c r="AW137" i="2"/>
  <c r="AJ165" i="2"/>
  <c r="AP165" i="2" s="1"/>
  <c r="AJ127" i="2"/>
  <c r="AP127" i="2" s="1"/>
  <c r="AJ137" i="2"/>
  <c r="AP137" i="2" s="1"/>
  <c r="AI26" i="2"/>
  <c r="AO26" i="2" s="1"/>
  <c r="AY137" i="2"/>
  <c r="AY187" i="2"/>
  <c r="AQ144" i="2"/>
  <c r="AI137" i="2"/>
  <c r="AO137" i="2" s="1"/>
  <c r="AR58" i="2"/>
  <c r="AR21" i="2"/>
  <c r="AK86" i="2"/>
  <c r="AI86" i="2"/>
  <c r="AO86" i="2" s="1"/>
  <c r="AQ26" i="2"/>
  <c r="AR167" i="2"/>
  <c r="AY58" i="2"/>
  <c r="AU165" i="2"/>
  <c r="AV127" i="2"/>
  <c r="AW86" i="2"/>
  <c r="AX137" i="2"/>
  <c r="AJ21" i="2"/>
  <c r="AP21" i="2" s="1"/>
  <c r="AR154" i="2"/>
  <c r="AK137" i="2"/>
  <c r="AK167" i="2"/>
  <c r="AQ166" i="2"/>
  <c r="AK187" i="2"/>
  <c r="AX127" i="2"/>
  <c r="AY86" i="2"/>
  <c r="AK21" i="2"/>
  <c r="AI112" i="2"/>
  <c r="AO112" i="2" s="1"/>
  <c r="AQ79" i="2"/>
  <c r="AK39" i="2"/>
  <c r="AI79" i="2"/>
  <c r="AO79" i="2" s="1"/>
  <c r="AY79" i="2"/>
  <c r="AX39" i="2"/>
  <c r="AQ39" i="2"/>
  <c r="AK79" i="2"/>
  <c r="AQ112" i="2"/>
  <c r="AK35" i="2"/>
  <c r="AR125" i="2"/>
  <c r="AI99" i="2"/>
  <c r="AO99" i="2" s="1"/>
  <c r="AR182" i="2"/>
  <c r="AI53" i="2"/>
  <c r="AO53" i="2" s="1"/>
  <c r="AK59" i="2"/>
  <c r="AJ104" i="2"/>
  <c r="AP104" i="2" s="1"/>
  <c r="AW183" i="2"/>
  <c r="AW108" i="2"/>
  <c r="AU73" i="2"/>
  <c r="AW163" i="2"/>
  <c r="AT118" i="2"/>
  <c r="AI78" i="2"/>
  <c r="AO78" i="2" s="1"/>
  <c r="AU181" i="2"/>
  <c r="AU190" i="2"/>
  <c r="AJ85" i="2"/>
  <c r="AP85" i="2" s="1"/>
  <c r="AW164" i="2"/>
  <c r="AV188" i="2"/>
  <c r="AY71" i="2"/>
  <c r="AT45" i="2"/>
  <c r="AK97" i="2"/>
  <c r="AU147" i="2"/>
  <c r="AW91" i="2"/>
  <c r="AK131" i="2"/>
  <c r="AR160" i="2"/>
  <c r="AJ189" i="2"/>
  <c r="AP189" i="2" s="1"/>
  <c r="AI180" i="2"/>
  <c r="AO180" i="2" s="1"/>
  <c r="AJ130" i="2"/>
  <c r="AP130" i="2" s="1"/>
  <c r="AK61" i="2"/>
  <c r="AX11" i="2"/>
  <c r="AQ96" i="2"/>
  <c r="AQ102" i="2"/>
  <c r="AJ30" i="2"/>
  <c r="AP30" i="2" s="1"/>
  <c r="AX42" i="2"/>
  <c r="AT143" i="2"/>
  <c r="AJ77" i="2"/>
  <c r="AP77" i="2" s="1"/>
  <c r="AY149" i="2"/>
  <c r="AR120" i="2"/>
  <c r="AK141" i="2"/>
  <c r="AI107" i="2"/>
  <c r="AO107" i="2" s="1"/>
  <c r="AK148" i="2"/>
  <c r="AK110" i="2"/>
  <c r="AJ38" i="2"/>
  <c r="AP38" i="2" s="1"/>
  <c r="AQ41" i="2"/>
  <c r="AX185" i="2"/>
  <c r="AX54" i="2"/>
  <c r="AY142" i="2"/>
  <c r="AQ55" i="2"/>
  <c r="AW105" i="2"/>
  <c r="AK134" i="2"/>
  <c r="AX140" i="2"/>
  <c r="AJ60" i="2"/>
  <c r="AP60" i="2" s="1"/>
  <c r="AT132" i="2"/>
  <c r="AJ15" i="2"/>
  <c r="AP15" i="2" s="1"/>
  <c r="AW173" i="2"/>
  <c r="AY100" i="2"/>
  <c r="AY101" i="2"/>
  <c r="AW66" i="2"/>
  <c r="AJ39" i="2"/>
  <c r="AP39" i="2" s="1"/>
  <c r="AY128" i="2"/>
  <c r="AX56" i="2"/>
  <c r="AI35" i="2"/>
  <c r="AO35" i="2" s="1"/>
  <c r="AI108" i="2"/>
  <c r="AO108" i="2" s="1"/>
  <c r="AQ181" i="2"/>
  <c r="AI104" i="2"/>
  <c r="AO104" i="2" s="1"/>
  <c r="AQ183" i="2"/>
  <c r="AR108" i="2"/>
  <c r="AT164" i="2"/>
  <c r="AT78" i="2"/>
  <c r="AX85" i="2"/>
  <c r="AW104" i="2"/>
  <c r="AX183" i="2"/>
  <c r="AJ183" i="2"/>
  <c r="AP183" i="2" s="1"/>
  <c r="AK182" i="2"/>
  <c r="AK53" i="2"/>
  <c r="AQ59" i="2"/>
  <c r="AT108" i="2"/>
  <c r="AU53" i="2"/>
  <c r="AX118" i="2"/>
  <c r="AY104" i="2"/>
  <c r="AK183" i="2"/>
  <c r="AQ164" i="2"/>
  <c r="AQ182" i="2"/>
  <c r="AR99" i="2"/>
  <c r="AI125" i="2"/>
  <c r="AO125" i="2" s="1"/>
  <c r="AU108" i="2"/>
  <c r="AY163" i="2"/>
  <c r="AK104" i="2"/>
  <c r="AV181" i="2"/>
  <c r="AJ188" i="2"/>
  <c r="AP188" i="2" s="1"/>
  <c r="AI182" i="2"/>
  <c r="AO182" i="2" s="1"/>
  <c r="AR35" i="2"/>
  <c r="AQ35" i="2"/>
  <c r="AR104" i="2"/>
  <c r="AR53" i="2"/>
  <c r="AV108" i="2"/>
  <c r="AU35" i="2"/>
  <c r="AT183" i="2"/>
  <c r="AU182" i="2"/>
  <c r="AR183" i="2"/>
  <c r="AQ108" i="2"/>
  <c r="AK108" i="2"/>
  <c r="AX108" i="2"/>
  <c r="AT104" i="2"/>
  <c r="AV73" i="2"/>
  <c r="AV183" i="2"/>
  <c r="AJ71" i="2"/>
  <c r="AP71" i="2" s="1"/>
  <c r="AJ108" i="2"/>
  <c r="AP108" i="2" s="1"/>
  <c r="AI183" i="2"/>
  <c r="AO183" i="2" s="1"/>
  <c r="AQ104" i="2"/>
  <c r="AY108" i="2"/>
  <c r="AU104" i="2"/>
  <c r="AY188" i="2"/>
  <c r="AU183" i="2"/>
  <c r="AV104" i="2"/>
  <c r="AT40" i="2"/>
  <c r="AY40" i="2"/>
  <c r="AJ40" i="2"/>
  <c r="AP40" i="2" s="1"/>
  <c r="AR40" i="2"/>
  <c r="AK40" i="2"/>
  <c r="AX40" i="2"/>
  <c r="AI40" i="2"/>
  <c r="AO40" i="2" s="1"/>
  <c r="AW40" i="2"/>
  <c r="AV40" i="2"/>
  <c r="AU40" i="2"/>
  <c r="AQ40" i="2"/>
  <c r="AK164" i="2"/>
  <c r="AI160" i="2"/>
  <c r="AO160" i="2" s="1"/>
  <c r="AI73" i="2"/>
  <c r="AO73" i="2" s="1"/>
  <c r="AI118" i="2"/>
  <c r="AO118" i="2" s="1"/>
  <c r="AR78" i="2"/>
  <c r="AQ163" i="2"/>
  <c r="AQ71" i="2"/>
  <c r="AT190" i="2"/>
  <c r="AW118" i="2"/>
  <c r="AX163" i="2"/>
  <c r="AU78" i="2"/>
  <c r="AW85" i="2"/>
  <c r="AT181" i="2"/>
  <c r="AY73" i="2"/>
  <c r="AX188" i="2"/>
  <c r="AJ164" i="2"/>
  <c r="AP164" i="2" s="1"/>
  <c r="AJ190" i="2"/>
  <c r="AP190" i="2" s="1"/>
  <c r="AJ73" i="2"/>
  <c r="AP73" i="2" s="1"/>
  <c r="AI164" i="2"/>
  <c r="AO164" i="2" s="1"/>
  <c r="AR131" i="2"/>
  <c r="AQ91" i="2"/>
  <c r="AK71" i="2"/>
  <c r="AR147" i="2"/>
  <c r="AR71" i="2"/>
  <c r="AI189" i="2"/>
  <c r="AO189" i="2" s="1"/>
  <c r="AR163" i="2"/>
  <c r="AT71" i="2"/>
  <c r="AU164" i="2"/>
  <c r="AW190" i="2"/>
  <c r="AU189" i="2"/>
  <c r="AY118" i="2"/>
  <c r="AK163" i="2"/>
  <c r="AW131" i="2"/>
  <c r="AV78" i="2"/>
  <c r="AY85" i="2"/>
  <c r="AW181" i="2"/>
  <c r="AW73" i="2"/>
  <c r="AW188" i="2"/>
  <c r="AJ78" i="2"/>
  <c r="AP78" i="2" s="1"/>
  <c r="AR164" i="2"/>
  <c r="AR181" i="2"/>
  <c r="AI131" i="2"/>
  <c r="AO131" i="2" s="1"/>
  <c r="AK181" i="2"/>
  <c r="AR73" i="2"/>
  <c r="AI147" i="2"/>
  <c r="AO147" i="2" s="1"/>
  <c r="AR85" i="2"/>
  <c r="AQ78" i="2"/>
  <c r="AU71" i="2"/>
  <c r="AV164" i="2"/>
  <c r="AX190" i="2"/>
  <c r="AT189" i="2"/>
  <c r="AK118" i="2"/>
  <c r="AW78" i="2"/>
  <c r="AV85" i="2"/>
  <c r="AX181" i="2"/>
  <c r="AX73" i="2"/>
  <c r="AR188" i="2"/>
  <c r="AJ147" i="2"/>
  <c r="AP147" i="2" s="1"/>
  <c r="AQ131" i="2"/>
  <c r="AK189" i="2"/>
  <c r="AQ147" i="2"/>
  <c r="AI190" i="2"/>
  <c r="AO190" i="2" s="1"/>
  <c r="AI91" i="2"/>
  <c r="AO91" i="2" s="1"/>
  <c r="AI85" i="2"/>
  <c r="AO85" i="2" s="1"/>
  <c r="AQ118" i="2"/>
  <c r="AV71" i="2"/>
  <c r="AX164" i="2"/>
  <c r="AY190" i="2"/>
  <c r="AV189" i="2"/>
  <c r="AU163" i="2"/>
  <c r="AX78" i="2"/>
  <c r="AQ85" i="2"/>
  <c r="AY181" i="2"/>
  <c r="AK73" i="2"/>
  <c r="AR189" i="2"/>
  <c r="AI71" i="2"/>
  <c r="AO71" i="2" s="1"/>
  <c r="AQ160" i="2"/>
  <c r="AR190" i="2"/>
  <c r="AQ73" i="2"/>
  <c r="AQ97" i="2"/>
  <c r="AK85" i="2"/>
  <c r="AW71" i="2"/>
  <c r="AY164" i="2"/>
  <c r="AQ190" i="2"/>
  <c r="AW189" i="2"/>
  <c r="AV118" i="2"/>
  <c r="AT163" i="2"/>
  <c r="AY78" i="2"/>
  <c r="AT188" i="2"/>
  <c r="AJ118" i="2"/>
  <c r="AP118" i="2" s="1"/>
  <c r="AQ189" i="2"/>
  <c r="AR45" i="2"/>
  <c r="AI181" i="2"/>
  <c r="AO181" i="2" s="1"/>
  <c r="AI45" i="2"/>
  <c r="AO45" i="2" s="1"/>
  <c r="AR118" i="2"/>
  <c r="AX71" i="2"/>
  <c r="AX189" i="2"/>
  <c r="AU118" i="2"/>
  <c r="AV163" i="2"/>
  <c r="AK78" i="2"/>
  <c r="AT85" i="2"/>
  <c r="AT73" i="2"/>
  <c r="AU188" i="2"/>
  <c r="AJ163" i="2"/>
  <c r="AP163" i="2" s="1"/>
  <c r="AJ181" i="2"/>
  <c r="AP181" i="2" s="1"/>
  <c r="AR91" i="2"/>
  <c r="AK190" i="2"/>
  <c r="AK188" i="2"/>
  <c r="AI188" i="2"/>
  <c r="AO188" i="2" s="1"/>
  <c r="AQ188" i="2"/>
  <c r="AY189" i="2"/>
  <c r="AU85" i="2"/>
  <c r="AI84" i="2"/>
  <c r="AO84" i="2" s="1"/>
  <c r="AQ84" i="2"/>
  <c r="AR61" i="2"/>
  <c r="AK102" i="2"/>
  <c r="AY42" i="2"/>
  <c r="AT130" i="2"/>
  <c r="AY54" i="2"/>
  <c r="AV11" i="2"/>
  <c r="AT96" i="2"/>
  <c r="AX30" i="2"/>
  <c r="AJ11" i="2"/>
  <c r="AP11" i="2" s="1"/>
  <c r="AJ102" i="2"/>
  <c r="AP102" i="2" s="1"/>
  <c r="AI96" i="2"/>
  <c r="AO96" i="2" s="1"/>
  <c r="AV130" i="2"/>
  <c r="AY38" i="2"/>
  <c r="AK11" i="2"/>
  <c r="AV96" i="2"/>
  <c r="AT102" i="2"/>
  <c r="AK30" i="2"/>
  <c r="AK185" i="2"/>
  <c r="AQ149" i="2"/>
  <c r="AI30" i="2"/>
  <c r="AO30" i="2" s="1"/>
  <c r="AI61" i="2"/>
  <c r="AO61" i="2" s="1"/>
  <c r="AT42" i="2"/>
  <c r="AW130" i="2"/>
  <c r="AK38" i="2"/>
  <c r="AW96" i="2"/>
  <c r="AV102" i="2"/>
  <c r="AJ96" i="2"/>
  <c r="AP96" i="2" s="1"/>
  <c r="AQ185" i="2"/>
  <c r="AI149" i="2"/>
  <c r="AO149" i="2" s="1"/>
  <c r="AR30" i="2"/>
  <c r="AR38" i="2"/>
  <c r="AR96" i="2"/>
  <c r="AQ120" i="2"/>
  <c r="AU42" i="2"/>
  <c r="AX130" i="2"/>
  <c r="AT11" i="2"/>
  <c r="AX96" i="2"/>
  <c r="AW102" i="2"/>
  <c r="AT30" i="2"/>
  <c r="AJ42" i="2"/>
  <c r="AP42" i="2" s="1"/>
  <c r="AK130" i="2"/>
  <c r="AQ11" i="2"/>
  <c r="AQ45" i="2"/>
  <c r="AK180" i="2"/>
  <c r="AI42" i="2"/>
  <c r="AO42" i="2" s="1"/>
  <c r="AK96" i="2"/>
  <c r="AV42" i="2"/>
  <c r="AY130" i="2"/>
  <c r="AU11" i="2"/>
  <c r="AY96" i="2"/>
  <c r="AX102" i="2"/>
  <c r="AU30" i="2"/>
  <c r="AU120" i="2"/>
  <c r="AQ130" i="2"/>
  <c r="AI11" i="2"/>
  <c r="AO11" i="2" s="1"/>
  <c r="AI38" i="2"/>
  <c r="AO38" i="2" s="1"/>
  <c r="AQ42" i="2"/>
  <c r="AI41" i="2"/>
  <c r="AO41" i="2" s="1"/>
  <c r="AR102" i="2"/>
  <c r="AW42" i="2"/>
  <c r="AW11" i="2"/>
  <c r="AY102" i="2"/>
  <c r="AW61" i="2"/>
  <c r="AW30" i="2"/>
  <c r="AK149" i="2"/>
  <c r="AI130" i="2"/>
  <c r="AO130" i="2" s="1"/>
  <c r="AI102" i="2"/>
  <c r="AO102" i="2" s="1"/>
  <c r="AT41" i="2"/>
  <c r="AV30" i="2"/>
  <c r="AR129" i="2"/>
  <c r="AI129" i="2"/>
  <c r="AO129" i="2" s="1"/>
  <c r="AQ129" i="2"/>
  <c r="AV129" i="2"/>
  <c r="AQ126" i="2"/>
  <c r="AI126" i="2"/>
  <c r="AO126" i="2" s="1"/>
  <c r="AU126" i="2"/>
  <c r="AK126" i="2"/>
  <c r="AK8" i="2"/>
  <c r="AI8" i="2"/>
  <c r="AO8" i="2" s="1"/>
  <c r="AR8" i="2"/>
  <c r="AX156" i="2"/>
  <c r="AR156" i="2"/>
  <c r="AK156" i="2"/>
  <c r="AI156" i="2"/>
  <c r="AO156" i="2" s="1"/>
  <c r="AR116" i="2"/>
  <c r="AQ116" i="2"/>
  <c r="AI116" i="2"/>
  <c r="AO116" i="2" s="1"/>
  <c r="AX14" i="2"/>
  <c r="AQ14" i="2"/>
  <c r="AR14" i="2"/>
  <c r="AK14" i="2"/>
  <c r="AQ139" i="2"/>
  <c r="AI139" i="2"/>
  <c r="AO139" i="2" s="1"/>
  <c r="AR139" i="2"/>
  <c r="AI185" i="2"/>
  <c r="AO185" i="2" s="1"/>
  <c r="AR148" i="2"/>
  <c r="AQ60" i="2"/>
  <c r="AI140" i="2"/>
  <c r="AO140" i="2" s="1"/>
  <c r="AK101" i="2"/>
  <c r="AR101" i="2"/>
  <c r="AK56" i="2"/>
  <c r="AQ173" i="2"/>
  <c r="AI173" i="2"/>
  <c r="AO173" i="2" s="1"/>
  <c r="AW143" i="2"/>
  <c r="AW60" i="2"/>
  <c r="AU77" i="2"/>
  <c r="AU142" i="2"/>
  <c r="AT100" i="2"/>
  <c r="AK173" i="2"/>
  <c r="AT101" i="2"/>
  <c r="AU41" i="2"/>
  <c r="AX132" i="2"/>
  <c r="AT128" i="2"/>
  <c r="AU185" i="2"/>
  <c r="AJ41" i="2"/>
  <c r="AP41" i="2" s="1"/>
  <c r="AJ55" i="2"/>
  <c r="AP55" i="2" s="1"/>
  <c r="AR185" i="2"/>
  <c r="AI110" i="2"/>
  <c r="AO110" i="2" s="1"/>
  <c r="AR60" i="2"/>
  <c r="AI60" i="2"/>
  <c r="AO60" i="2" s="1"/>
  <c r="AQ101" i="2"/>
  <c r="AQ143" i="2"/>
  <c r="AR143" i="2"/>
  <c r="AK41" i="2"/>
  <c r="AX143" i="2"/>
  <c r="AV54" i="2"/>
  <c r="AT38" i="2"/>
  <c r="AT142" i="2"/>
  <c r="AU100" i="2"/>
  <c r="AT56" i="2"/>
  <c r="AV101" i="2"/>
  <c r="AY41" i="2"/>
  <c r="AY132" i="2"/>
  <c r="AU128" i="2"/>
  <c r="AT185" i="2"/>
  <c r="AJ56" i="2"/>
  <c r="AP56" i="2" s="1"/>
  <c r="AJ132" i="2"/>
  <c r="AP132" i="2" s="1"/>
  <c r="AJ185" i="2"/>
  <c r="AP185" i="2" s="1"/>
  <c r="AK107" i="2"/>
  <c r="AR97" i="2"/>
  <c r="AR56" i="2"/>
  <c r="AR41" i="2"/>
  <c r="AY143" i="2"/>
  <c r="AU97" i="2"/>
  <c r="AU54" i="2"/>
  <c r="AU38" i="2"/>
  <c r="AV142" i="2"/>
  <c r="AV100" i="2"/>
  <c r="AU56" i="2"/>
  <c r="AU173" i="2"/>
  <c r="AW101" i="2"/>
  <c r="AV41" i="2"/>
  <c r="AW132" i="2"/>
  <c r="AV128" i="2"/>
  <c r="AV185" i="2"/>
  <c r="AT140" i="2"/>
  <c r="AI54" i="2"/>
  <c r="AO54" i="2" s="1"/>
  <c r="AR142" i="2"/>
  <c r="AQ77" i="2"/>
  <c r="AI101" i="2"/>
  <c r="AO101" i="2" s="1"/>
  <c r="AK55" i="2"/>
  <c r="AR173" i="2"/>
  <c r="AQ140" i="2"/>
  <c r="AT60" i="2"/>
  <c r="AT54" i="2"/>
  <c r="AV38" i="2"/>
  <c r="AW142" i="2"/>
  <c r="AW100" i="2"/>
  <c r="AV56" i="2"/>
  <c r="AT173" i="2"/>
  <c r="AX101" i="2"/>
  <c r="AW41" i="2"/>
  <c r="AK132" i="2"/>
  <c r="AW128" i="2"/>
  <c r="AX84" i="2"/>
  <c r="AY185" i="2"/>
  <c r="AU140" i="2"/>
  <c r="AJ54" i="2"/>
  <c r="AP54" i="2" s="1"/>
  <c r="AQ110" i="2"/>
  <c r="AI77" i="2"/>
  <c r="AO77" i="2" s="1"/>
  <c r="AQ38" i="2"/>
  <c r="AR84" i="2"/>
  <c r="AR54" i="2"/>
  <c r="AR107" i="2"/>
  <c r="AQ141" i="2"/>
  <c r="AU60" i="2"/>
  <c r="AW54" i="2"/>
  <c r="AW38" i="2"/>
  <c r="AX142" i="2"/>
  <c r="AX100" i="2"/>
  <c r="AW56" i="2"/>
  <c r="AV173" i="2"/>
  <c r="AX41" i="2"/>
  <c r="AQ148" i="2"/>
  <c r="AX128" i="2"/>
  <c r="AQ107" i="2"/>
  <c r="AW185" i="2"/>
  <c r="AV140" i="2"/>
  <c r="AJ143" i="2"/>
  <c r="AP143" i="2" s="1"/>
  <c r="AJ100" i="2"/>
  <c r="AP100" i="2" s="1"/>
  <c r="AJ128" i="2"/>
  <c r="AP128" i="2" s="1"/>
  <c r="F16" i="4"/>
  <c r="AI148" i="2"/>
  <c r="AO148" i="2" s="1"/>
  <c r="AI141" i="2"/>
  <c r="AO141" i="2" s="1"/>
  <c r="AI142" i="2"/>
  <c r="AO142" i="2" s="1"/>
  <c r="AK142" i="2"/>
  <c r="AQ54" i="2"/>
  <c r="AR55" i="2"/>
  <c r="AQ100" i="2"/>
  <c r="AQ132" i="2"/>
  <c r="AR132" i="2"/>
  <c r="AI132" i="2"/>
  <c r="AO132" i="2" s="1"/>
  <c r="AI56" i="2"/>
  <c r="AO56" i="2" s="1"/>
  <c r="AX60" i="2"/>
  <c r="AX38" i="2"/>
  <c r="AY70" i="2"/>
  <c r="AK70" i="2"/>
  <c r="AX70" i="2"/>
  <c r="AQ70" i="2"/>
  <c r="AR105" i="2"/>
  <c r="AR134" i="2"/>
  <c r="AT77" i="2"/>
  <c r="AR77" i="2"/>
  <c r="AV77" i="2"/>
  <c r="AY77" i="2"/>
  <c r="AK77" i="2"/>
  <c r="AX77" i="2"/>
  <c r="AW77" i="2"/>
  <c r="AJ149" i="2"/>
  <c r="AP149" i="2" s="1"/>
  <c r="AX149" i="2"/>
  <c r="AW149" i="2"/>
  <c r="AV149" i="2"/>
  <c r="AT149" i="2"/>
  <c r="AU149" i="2"/>
  <c r="AR149" i="2"/>
  <c r="AT120" i="2"/>
  <c r="AI120" i="2"/>
  <c r="AO120" i="2" s="1"/>
  <c r="AY120" i="2"/>
  <c r="AX120" i="2"/>
  <c r="AJ120" i="2"/>
  <c r="AP120" i="2" s="1"/>
  <c r="AW120" i="2"/>
  <c r="AV120" i="2"/>
  <c r="AR141" i="2"/>
  <c r="AY141" i="2"/>
  <c r="AX141" i="2"/>
  <c r="AW141" i="2"/>
  <c r="AV141" i="2"/>
  <c r="AT141" i="2"/>
  <c r="AJ141" i="2"/>
  <c r="AP141" i="2" s="1"/>
  <c r="AU141" i="2"/>
  <c r="AY107" i="2"/>
  <c r="AJ107" i="2"/>
  <c r="AP107" i="2" s="1"/>
  <c r="AX107" i="2"/>
  <c r="AW107" i="2"/>
  <c r="AV107" i="2"/>
  <c r="AT107" i="2"/>
  <c r="AU107" i="2"/>
  <c r="AW148" i="2"/>
  <c r="AY148" i="2"/>
  <c r="AX148" i="2"/>
  <c r="AJ148" i="2"/>
  <c r="AP148" i="2" s="1"/>
  <c r="AV148" i="2"/>
  <c r="AU148" i="2"/>
  <c r="AT148" i="2"/>
  <c r="AR110" i="2"/>
  <c r="AY110" i="2"/>
  <c r="AX110" i="2"/>
  <c r="AJ110" i="2"/>
  <c r="AP110" i="2" s="1"/>
  <c r="AW110" i="2"/>
  <c r="AV110" i="2"/>
  <c r="AT110" i="2"/>
  <c r="AU110" i="2"/>
  <c r="AY55" i="2"/>
  <c r="AX55" i="2"/>
  <c r="AW55" i="2"/>
  <c r="AU55" i="2"/>
  <c r="AV55" i="2"/>
  <c r="AT55" i="2"/>
  <c r="AI55" i="2"/>
  <c r="AO55" i="2" s="1"/>
  <c r="AU84" i="2"/>
  <c r="AT84" i="2"/>
  <c r="AJ84" i="2"/>
  <c r="AP84" i="2" s="1"/>
  <c r="AK84" i="2"/>
  <c r="AW84" i="2"/>
  <c r="AV84" i="2"/>
  <c r="AY84" i="2"/>
  <c r="AU172" i="2"/>
  <c r="AT172" i="2"/>
  <c r="AW172" i="2"/>
  <c r="AY172" i="2"/>
  <c r="AX172" i="2"/>
  <c r="AT178" i="2"/>
  <c r="AY178" i="2"/>
  <c r="AX178" i="2"/>
  <c r="AW178" i="2"/>
  <c r="AJ178" i="2"/>
  <c r="AP178" i="2" s="1"/>
  <c r="AV178" i="2"/>
  <c r="AK112" i="2"/>
  <c r="AJ112" i="2"/>
  <c r="AP112" i="2" s="1"/>
  <c r="AW115" i="2"/>
  <c r="AV115" i="2"/>
  <c r="AT115" i="2"/>
  <c r="AJ115" i="2"/>
  <c r="AP115" i="2" s="1"/>
  <c r="AU115" i="2"/>
  <c r="AQ115" i="2"/>
  <c r="AY115" i="2"/>
  <c r="AX134" i="2"/>
  <c r="AW134" i="2"/>
  <c r="AV134" i="2"/>
  <c r="AT134" i="2"/>
  <c r="AU134" i="2"/>
  <c r="AQ180" i="2"/>
  <c r="AW180" i="2"/>
  <c r="AY180" i="2"/>
  <c r="AX180" i="2"/>
  <c r="AV180" i="2"/>
  <c r="AU180" i="2"/>
  <c r="AJ180" i="2"/>
  <c r="AP180" i="2" s="1"/>
  <c r="AT180" i="2"/>
  <c r="AQ134" i="2"/>
  <c r="AU178" i="2"/>
  <c r="AJ134" i="2"/>
  <c r="AP134" i="2" s="1"/>
  <c r="AY165" i="2"/>
  <c r="AX165" i="2"/>
  <c r="AW165" i="2"/>
  <c r="AK165" i="2"/>
  <c r="AV165" i="2"/>
  <c r="AT165" i="2"/>
  <c r="AY144" i="2"/>
  <c r="AX144" i="2"/>
  <c r="AW144" i="2"/>
  <c r="AJ144" i="2"/>
  <c r="AP144" i="2" s="1"/>
  <c r="AV144" i="2"/>
  <c r="AU144" i="2"/>
  <c r="AT144" i="2"/>
  <c r="AV21" i="2"/>
  <c r="AX21" i="2"/>
  <c r="AW21" i="2"/>
  <c r="AY21" i="2"/>
  <c r="AU21" i="2"/>
  <c r="AT21" i="2"/>
  <c r="AJ18" i="2"/>
  <c r="AP18" i="2" s="1"/>
  <c r="AV18" i="2"/>
  <c r="AU18" i="2"/>
  <c r="AT18" i="2"/>
  <c r="AI18" i="2"/>
  <c r="AO18" i="2" s="1"/>
  <c r="AY18" i="2"/>
  <c r="AX18" i="2"/>
  <c r="AT36" i="2"/>
  <c r="AJ36" i="2"/>
  <c r="AP36" i="2" s="1"/>
  <c r="AW36" i="2"/>
  <c r="AV36" i="2"/>
  <c r="AY36" i="2"/>
  <c r="AX36" i="2"/>
  <c r="AT57" i="2"/>
  <c r="AX57" i="2"/>
  <c r="AW57" i="2"/>
  <c r="AV57" i="2"/>
  <c r="AY57" i="2"/>
  <c r="AV14" i="2"/>
  <c r="AJ14" i="2"/>
  <c r="AP14" i="2" s="1"/>
  <c r="AU14" i="2"/>
  <c r="AW14" i="2"/>
  <c r="AT14" i="2"/>
  <c r="AI14" i="2"/>
  <c r="AO14" i="2" s="1"/>
  <c r="AY14" i="2"/>
  <c r="AU61" i="2"/>
  <c r="AJ61" i="2"/>
  <c r="AP61" i="2" s="1"/>
  <c r="AT61" i="2"/>
  <c r="AV61" i="2"/>
  <c r="AY61" i="2"/>
  <c r="AQ61" i="2"/>
  <c r="AX61" i="2"/>
  <c r="AW48" i="2"/>
  <c r="AV48" i="2"/>
  <c r="AR48" i="2"/>
  <c r="AU48" i="2"/>
  <c r="AT48" i="2"/>
  <c r="AI48" i="2"/>
  <c r="AO48" i="2" s="1"/>
  <c r="AQ48" i="2"/>
  <c r="AY48" i="2"/>
  <c r="AV167" i="2"/>
  <c r="AU167" i="2"/>
  <c r="AT167" i="2"/>
  <c r="AJ167" i="2"/>
  <c r="AP167" i="2" s="1"/>
  <c r="AI167" i="2"/>
  <c r="AO167" i="2" s="1"/>
  <c r="AY167" i="2"/>
  <c r="AX167" i="2"/>
  <c r="AY98" i="2"/>
  <c r="AX98" i="2"/>
  <c r="AW98" i="2"/>
  <c r="AV98" i="2"/>
  <c r="AJ98" i="2"/>
  <c r="AP98" i="2" s="1"/>
  <c r="AU98" i="2"/>
  <c r="AT98" i="2"/>
  <c r="AV64" i="2"/>
  <c r="AJ64" i="2"/>
  <c r="AP64" i="2" s="1"/>
  <c r="AU64" i="2"/>
  <c r="AT64" i="2"/>
  <c r="AR64" i="2"/>
  <c r="AY64" i="2"/>
  <c r="AI64" i="2"/>
  <c r="AO64" i="2" s="1"/>
  <c r="AX64" i="2"/>
  <c r="AX26" i="2"/>
  <c r="AW26" i="2"/>
  <c r="AV26" i="2"/>
  <c r="AJ26" i="2"/>
  <c r="AP26" i="2" s="1"/>
  <c r="AU26" i="2"/>
  <c r="AT26" i="2"/>
  <c r="AW133" i="2"/>
  <c r="AV133" i="2"/>
  <c r="AT133" i="2"/>
  <c r="AJ133" i="2"/>
  <c r="AP133" i="2" s="1"/>
  <c r="AU133" i="2"/>
  <c r="AK133" i="2"/>
  <c r="AY133" i="2"/>
  <c r="AQ154" i="2"/>
  <c r="AJ154" i="2"/>
  <c r="AP154" i="2" s="1"/>
  <c r="AY154" i="2"/>
  <c r="AX154" i="2"/>
  <c r="AW154" i="2"/>
  <c r="AV154" i="2"/>
  <c r="AU154" i="2"/>
  <c r="AY166" i="2"/>
  <c r="AK166" i="2"/>
  <c r="AX166" i="2"/>
  <c r="AW166" i="2"/>
  <c r="AJ166" i="2"/>
  <c r="AP166" i="2" s="1"/>
  <c r="AV166" i="2"/>
  <c r="AT166" i="2"/>
  <c r="AU166" i="2"/>
  <c r="AT159" i="2"/>
  <c r="AJ159" i="2"/>
  <c r="AP159" i="2" s="1"/>
  <c r="AY159" i="2"/>
  <c r="AX159" i="2"/>
  <c r="AW159" i="2"/>
  <c r="AV159" i="2"/>
  <c r="AV172" i="2"/>
  <c r="AX79" i="2"/>
  <c r="AW79" i="2"/>
  <c r="AU79" i="2"/>
  <c r="AV79" i="2"/>
  <c r="AT79" i="2"/>
  <c r="AJ79" i="2"/>
  <c r="AP79" i="2" s="1"/>
  <c r="AR135" i="2"/>
  <c r="AY135" i="2"/>
  <c r="AQ135" i="2"/>
  <c r="AJ135" i="2"/>
  <c r="AP135" i="2" s="1"/>
  <c r="AX135" i="2"/>
  <c r="AW135" i="2"/>
  <c r="AV135" i="2"/>
  <c r="AU135" i="2"/>
  <c r="AT135" i="2"/>
  <c r="AV17" i="2"/>
  <c r="AJ17" i="2"/>
  <c r="AP17" i="2" s="1"/>
  <c r="AY17" i="2"/>
  <c r="AU17" i="2"/>
  <c r="AT17" i="2"/>
  <c r="AX17" i="2"/>
  <c r="AU74" i="2"/>
  <c r="AT74" i="2"/>
  <c r="AW75" i="2"/>
  <c r="AV75" i="2"/>
  <c r="AJ75" i="2"/>
  <c r="AP75" i="2" s="1"/>
  <c r="AT75" i="2"/>
  <c r="AU75" i="2"/>
  <c r="AY75" i="2"/>
  <c r="AX138" i="2"/>
  <c r="AW138" i="2"/>
  <c r="AV138" i="2"/>
  <c r="AU138" i="2"/>
  <c r="AT138" i="2"/>
  <c r="AQ138" i="2"/>
  <c r="AQ8" i="2"/>
  <c r="AW8" i="2"/>
  <c r="AY8" i="2"/>
  <c r="AX8" i="2"/>
  <c r="AV8" i="2"/>
  <c r="AU8" i="2"/>
  <c r="AT8" i="2"/>
  <c r="AV52" i="2"/>
  <c r="AY52" i="2"/>
  <c r="AX52" i="2"/>
  <c r="AU52" i="2"/>
  <c r="AJ52" i="2"/>
  <c r="AP52" i="2" s="1"/>
  <c r="AT52" i="2"/>
  <c r="AR52" i="2"/>
  <c r="AY136" i="2"/>
  <c r="AJ136" i="2"/>
  <c r="AP136" i="2" s="1"/>
  <c r="AX136" i="2"/>
  <c r="AW136" i="2"/>
  <c r="AV136" i="2"/>
  <c r="AU136" i="2"/>
  <c r="AT136" i="2"/>
  <c r="AY145" i="2"/>
  <c r="AJ145" i="2"/>
  <c r="AP145" i="2" s="1"/>
  <c r="AV145" i="2"/>
  <c r="AT145" i="2"/>
  <c r="AU145" i="2"/>
  <c r="AI145" i="2"/>
  <c r="AO145" i="2" s="1"/>
  <c r="AX145" i="2"/>
  <c r="AV156" i="2"/>
  <c r="AU156" i="2"/>
  <c r="AJ156" i="2"/>
  <c r="AP156" i="2" s="1"/>
  <c r="AT156" i="2"/>
  <c r="AQ156" i="2"/>
  <c r="AW156" i="2"/>
  <c r="AY156" i="2"/>
  <c r="AR172" i="2"/>
  <c r="AK115" i="2"/>
  <c r="AR115" i="2"/>
  <c r="AJ172" i="2"/>
  <c r="AP172" i="2" s="1"/>
  <c r="AK66" i="2"/>
  <c r="AX66" i="2"/>
  <c r="AU89" i="2"/>
  <c r="AT89" i="2"/>
  <c r="AQ89" i="2"/>
  <c r="AK89" i="2"/>
  <c r="AX89" i="2"/>
  <c r="AJ89" i="2"/>
  <c r="AP89" i="2" s="1"/>
  <c r="AW89" i="2"/>
  <c r="AV89" i="2"/>
  <c r="AX28" i="2"/>
  <c r="AU28" i="2"/>
  <c r="AT28" i="2"/>
  <c r="AR28" i="2"/>
  <c r="AW28" i="2"/>
  <c r="AJ28" i="2"/>
  <c r="AP28" i="2" s="1"/>
  <c r="AV28" i="2"/>
  <c r="AJ63" i="2"/>
  <c r="AP63" i="2" s="1"/>
  <c r="AW63" i="2"/>
  <c r="AV63" i="2"/>
  <c r="AU63" i="2"/>
  <c r="AT63" i="2"/>
  <c r="AQ63" i="2"/>
  <c r="AY63" i="2"/>
  <c r="AR63" i="2"/>
  <c r="AX187" i="2"/>
  <c r="AW187" i="2"/>
  <c r="AJ187" i="2"/>
  <c r="AP187" i="2" s="1"/>
  <c r="AV187" i="2"/>
  <c r="AT187" i="2"/>
  <c r="AU187" i="2"/>
  <c r="AQ187" i="2"/>
  <c r="AW39" i="2"/>
  <c r="AV39" i="2"/>
  <c r="AU39" i="2"/>
  <c r="AT39" i="2"/>
  <c r="AR39" i="2"/>
  <c r="AY39" i="2"/>
  <c r="AI119" i="2"/>
  <c r="AO119" i="2" s="1"/>
  <c r="AQ119" i="2"/>
  <c r="AY119" i="2"/>
  <c r="AX119" i="2"/>
  <c r="AW119" i="2"/>
  <c r="AJ119" i="2"/>
  <c r="AP119" i="2" s="1"/>
  <c r="AU119" i="2"/>
  <c r="AV119" i="2"/>
  <c r="AX169" i="2"/>
  <c r="AJ169" i="2"/>
  <c r="AP169" i="2" s="1"/>
  <c r="AW169" i="2"/>
  <c r="AY169" i="2"/>
  <c r="AV169" i="2"/>
  <c r="AT169" i="2"/>
  <c r="AU169" i="2"/>
  <c r="AQ169" i="2"/>
  <c r="AK139" i="2"/>
  <c r="AJ139" i="2"/>
  <c r="AP139" i="2" s="1"/>
  <c r="AY139" i="2"/>
  <c r="AX139" i="2"/>
  <c r="AW139" i="2"/>
  <c r="AV139" i="2"/>
  <c r="AT139" i="2"/>
  <c r="AU139" i="2"/>
  <c r="AR178" i="2"/>
  <c r="AI115" i="2"/>
  <c r="AO115" i="2" s="1"/>
  <c r="AI134" i="2"/>
  <c r="AO134" i="2" s="1"/>
  <c r="AK172" i="2"/>
  <c r="AW17" i="2"/>
  <c r="AT35" i="2"/>
  <c r="AJ35" i="2"/>
  <c r="AP35" i="2" s="1"/>
  <c r="AY35" i="2"/>
  <c r="AW35" i="2"/>
  <c r="AV35" i="2"/>
  <c r="AX35" i="2"/>
  <c r="AY125" i="2"/>
  <c r="AX125" i="2"/>
  <c r="AW125" i="2"/>
  <c r="AV125" i="2"/>
  <c r="AK125" i="2"/>
  <c r="AJ125" i="2"/>
  <c r="AP125" i="2" s="1"/>
  <c r="AU125" i="2"/>
  <c r="AT125" i="2"/>
  <c r="AQ99" i="2"/>
  <c r="AJ99" i="2"/>
  <c r="AP99" i="2" s="1"/>
  <c r="AY99" i="2"/>
  <c r="AX99" i="2"/>
  <c r="AW99" i="2"/>
  <c r="AV99" i="2"/>
  <c r="AT99" i="2"/>
  <c r="AV182" i="2"/>
  <c r="AY182" i="2"/>
  <c r="AJ182" i="2"/>
  <c r="AP182" i="2" s="1"/>
  <c r="AX182" i="2"/>
  <c r="AW182" i="2"/>
  <c r="AT182" i="2"/>
  <c r="AT53" i="2"/>
  <c r="AJ53" i="2"/>
  <c r="AP53" i="2" s="1"/>
  <c r="AV53" i="2"/>
  <c r="AQ53" i="2"/>
  <c r="AY53" i="2"/>
  <c r="AX53" i="2"/>
  <c r="AW53" i="2"/>
  <c r="AU59" i="2"/>
  <c r="AJ59" i="2"/>
  <c r="AP59" i="2" s="1"/>
  <c r="AI59" i="2"/>
  <c r="AO59" i="2" s="1"/>
  <c r="AR59" i="2"/>
  <c r="AY59" i="2"/>
  <c r="AX59" i="2"/>
  <c r="AW59" i="2"/>
  <c r="AV59" i="2"/>
  <c r="AW88" i="2"/>
  <c r="AV88" i="2"/>
  <c r="AU88" i="2"/>
  <c r="AT88" i="2"/>
  <c r="AK88" i="2"/>
  <c r="AJ88" i="2"/>
  <c r="AP88" i="2" s="1"/>
  <c r="AY88" i="2"/>
  <c r="AW10" i="2"/>
  <c r="AJ10" i="2"/>
  <c r="AP10" i="2" s="1"/>
  <c r="AV10" i="2"/>
  <c r="AU10" i="2"/>
  <c r="AT10" i="2"/>
  <c r="AQ10" i="2"/>
  <c r="AY10" i="2"/>
  <c r="AI172" i="2"/>
  <c r="AO172" i="2" s="1"/>
  <c r="AX75" i="2"/>
  <c r="AY134" i="2"/>
  <c r="AJ8" i="2"/>
  <c r="AP8" i="2" s="1"/>
  <c r="AT97" i="2"/>
  <c r="AI97" i="2"/>
  <c r="AO97" i="2" s="1"/>
  <c r="AX97" i="2"/>
  <c r="AW97" i="2"/>
  <c r="AV97" i="2"/>
  <c r="AJ97" i="2"/>
  <c r="AP97" i="2" s="1"/>
  <c r="AY97" i="2"/>
  <c r="AK147" i="2"/>
  <c r="AY147" i="2"/>
  <c r="AX147" i="2"/>
  <c r="AW147" i="2"/>
  <c r="AV147" i="2"/>
  <c r="AT147" i="2"/>
  <c r="AV91" i="2"/>
  <c r="AT91" i="2"/>
  <c r="AU91" i="2"/>
  <c r="AY91" i="2"/>
  <c r="AJ91" i="2"/>
  <c r="AP91" i="2" s="1"/>
  <c r="AX91" i="2"/>
  <c r="AV131" i="2"/>
  <c r="AT131" i="2"/>
  <c r="AU131" i="2"/>
  <c r="AJ131" i="2"/>
  <c r="AP131" i="2" s="1"/>
  <c r="AY131" i="2"/>
  <c r="AX131" i="2"/>
  <c r="AK160" i="2"/>
  <c r="AY160" i="2"/>
  <c r="AX160" i="2"/>
  <c r="AW160" i="2"/>
  <c r="AV160" i="2"/>
  <c r="AU160" i="2"/>
  <c r="AJ160" i="2"/>
  <c r="AP160" i="2" s="1"/>
  <c r="AT160" i="2"/>
  <c r="AX80" i="2"/>
  <c r="AW80" i="2"/>
  <c r="AV80" i="2"/>
  <c r="AU80" i="2"/>
  <c r="AT80" i="2"/>
  <c r="AJ80" i="2"/>
  <c r="AP80" i="2" s="1"/>
  <c r="AI80" i="2"/>
  <c r="AO80" i="2" s="1"/>
  <c r="AJ69" i="2"/>
  <c r="AP69" i="2" s="1"/>
  <c r="AS69" i="2" s="1"/>
  <c r="AV69" i="2"/>
  <c r="AY69" i="2"/>
  <c r="AX69" i="2"/>
  <c r="AW69" i="2"/>
  <c r="AT69" i="2"/>
  <c r="AU69" i="2"/>
  <c r="AR126" i="2"/>
  <c r="AY126" i="2"/>
  <c r="AX126" i="2"/>
  <c r="AJ126" i="2"/>
  <c r="AP126" i="2" s="1"/>
  <c r="AW126" i="2"/>
  <c r="AV126" i="2"/>
  <c r="AT126" i="2"/>
  <c r="AK116" i="2"/>
  <c r="AW116" i="2"/>
  <c r="AY116" i="2"/>
  <c r="AX116" i="2"/>
  <c r="AV116" i="2"/>
  <c r="AU116" i="2"/>
  <c r="AJ116" i="2"/>
  <c r="AP116" i="2" s="1"/>
  <c r="AT116" i="2"/>
  <c r="AK45" i="2"/>
  <c r="AV45" i="2"/>
  <c r="AY45" i="2"/>
  <c r="AX45" i="2"/>
  <c r="AJ45" i="2"/>
  <c r="AP45" i="2" s="1"/>
  <c r="AW45" i="2"/>
  <c r="AU45" i="2"/>
  <c r="AU129" i="2"/>
  <c r="AT129" i="2"/>
  <c r="AJ129" i="2"/>
  <c r="AP129" i="2" s="1"/>
  <c r="AK129" i="2"/>
  <c r="AX129" i="2"/>
  <c r="AW129" i="2"/>
  <c r="AY129" i="2"/>
  <c r="AI70" i="2"/>
  <c r="AO70" i="2" s="1"/>
  <c r="AR112" i="2"/>
  <c r="AY112" i="2"/>
  <c r="AW70" i="2"/>
  <c r="AY105" i="2"/>
  <c r="AX105" i="2"/>
  <c r="AT112" i="2"/>
  <c r="AK105" i="2"/>
  <c r="AU112" i="2"/>
  <c r="AJ70" i="2"/>
  <c r="AP70" i="2" s="1"/>
  <c r="AQ105" i="2"/>
  <c r="AI105" i="2"/>
  <c r="AO105" i="2" s="1"/>
  <c r="AV112" i="2"/>
  <c r="AU70" i="2"/>
  <c r="AT105" i="2"/>
  <c r="AR70" i="2"/>
  <c r="AW112" i="2"/>
  <c r="AT70" i="2"/>
  <c r="AU105" i="2"/>
  <c r="AX112" i="2"/>
  <c r="AV70" i="2"/>
  <c r="AV105" i="2"/>
  <c r="AJ105" i="2"/>
  <c r="AP105" i="2" s="1"/>
  <c r="AT15" i="2"/>
  <c r="AK15" i="2"/>
  <c r="AV66" i="2"/>
  <c r="AJ74" i="2"/>
  <c r="AP74" i="2" s="1"/>
  <c r="AV74" i="2"/>
  <c r="AV15" i="2"/>
  <c r="AY66" i="2"/>
  <c r="AI15" i="2"/>
  <c r="AO15" i="2" s="1"/>
  <c r="AI66" i="2"/>
  <c r="AO66" i="2" s="1"/>
  <c r="AQ74" i="2"/>
  <c r="AI74" i="2"/>
  <c r="AO74" i="2" s="1"/>
  <c r="AW74" i="2"/>
  <c r="AU15" i="2"/>
  <c r="AQ66" i="2"/>
  <c r="AX74" i="2"/>
  <c r="AW15" i="2"/>
  <c r="AJ66" i="2"/>
  <c r="AP66" i="2" s="1"/>
  <c r="AY74" i="2"/>
  <c r="AX15" i="2"/>
  <c r="AT66" i="2"/>
  <c r="D9" i="4"/>
  <c r="E9" i="4" s="1"/>
  <c r="AR66" i="2"/>
  <c r="AK74" i="2"/>
  <c r="AR74" i="2"/>
  <c r="AY15" i="2"/>
  <c r="AU66" i="2"/>
  <c r="D29" i="4"/>
  <c r="D19" i="4"/>
  <c r="D15" i="4"/>
  <c r="E15" i="4" s="1"/>
  <c r="D18" i="4"/>
  <c r="E18" i="4" s="1"/>
  <c r="E19" i="4" s="1"/>
  <c r="AI114" i="2"/>
  <c r="AO114" i="2" s="1"/>
  <c r="AU114" i="2"/>
  <c r="AT37" i="2"/>
  <c r="AI37" i="2"/>
  <c r="AO37" i="2" s="1"/>
  <c r="AU37" i="2"/>
  <c r="AQ37" i="2"/>
  <c r="AK37" i="2"/>
  <c r="AR37" i="2"/>
  <c r="AX37" i="2"/>
  <c r="AV37" i="2"/>
  <c r="AY37" i="2"/>
  <c r="AW37" i="2"/>
  <c r="AU123" i="2"/>
  <c r="AQ114" i="2"/>
  <c r="AT114" i="2"/>
  <c r="AR114" i="2"/>
  <c r="AV114" i="2"/>
  <c r="AK114" i="2"/>
  <c r="AW114" i="2"/>
  <c r="AT109" i="2"/>
  <c r="AX114" i="2"/>
  <c r="AY114" i="2"/>
  <c r="AW65" i="2"/>
  <c r="AK65" i="2"/>
  <c r="AR65" i="2"/>
  <c r="AJ65" i="2"/>
  <c r="AP65" i="2" s="1"/>
  <c r="AV65" i="2"/>
  <c r="AY65" i="2"/>
  <c r="AI65" i="2"/>
  <c r="AO65" i="2" s="1"/>
  <c r="AU65" i="2"/>
  <c r="AQ65" i="2"/>
  <c r="AT65" i="2"/>
  <c r="AX65" i="2"/>
  <c r="AQ146" i="2"/>
  <c r="AJ109" i="2"/>
  <c r="AP109" i="2" s="1"/>
  <c r="AU109" i="2"/>
  <c r="AJ37" i="2"/>
  <c r="AP37" i="2" s="1"/>
  <c r="AV109" i="2"/>
  <c r="AW109" i="2"/>
  <c r="AR109" i="2"/>
  <c r="AX109" i="2"/>
  <c r="AJ114" i="2"/>
  <c r="AP114" i="2" s="1"/>
  <c r="AQ109" i="2"/>
  <c r="AK109" i="2"/>
  <c r="AY109" i="2"/>
  <c r="AI109" i="2"/>
  <c r="AO109" i="2" s="1"/>
  <c r="AX186" i="2"/>
  <c r="AQ186" i="2"/>
  <c r="AW186" i="2"/>
  <c r="AJ186" i="2"/>
  <c r="AP186" i="2" s="1"/>
  <c r="AV186" i="2"/>
  <c r="AR186" i="2"/>
  <c r="AU186" i="2"/>
  <c r="AT186" i="2"/>
  <c r="AK186" i="2"/>
  <c r="AY186" i="2"/>
  <c r="AI186" i="2"/>
  <c r="AO186" i="2" s="1"/>
  <c r="AT155" i="2"/>
  <c r="AK155" i="2"/>
  <c r="AR155" i="2"/>
  <c r="AU155" i="2"/>
  <c r="AQ155" i="2"/>
  <c r="AW155" i="2"/>
  <c r="AJ155" i="2"/>
  <c r="AP155" i="2" s="1"/>
  <c r="AY155" i="2"/>
  <c r="AI155" i="2"/>
  <c r="AO155" i="2" s="1"/>
  <c r="AX155" i="2"/>
  <c r="AV155" i="2"/>
  <c r="AJ51" i="2"/>
  <c r="AP51" i="2" s="1"/>
  <c r="AV51" i="2"/>
  <c r="AX51" i="2"/>
  <c r="AT51" i="2"/>
  <c r="AR51" i="2"/>
  <c r="AU51" i="2"/>
  <c r="AI51" i="2"/>
  <c r="AO51" i="2" s="1"/>
  <c r="AK51" i="2"/>
  <c r="AY51" i="2"/>
  <c r="AW51" i="2"/>
  <c r="AQ51" i="2"/>
  <c r="AQ123" i="2"/>
  <c r="AK123" i="2"/>
  <c r="AI146" i="2"/>
  <c r="AO146" i="2" s="1"/>
  <c r="AV123" i="2"/>
  <c r="AT146" i="2"/>
  <c r="AK146" i="2"/>
  <c r="AY123" i="2"/>
  <c r="AU146" i="2"/>
  <c r="AJ123" i="2"/>
  <c r="AP123" i="2" s="1"/>
  <c r="AV146" i="2"/>
  <c r="AJ146" i="2"/>
  <c r="AP146" i="2" s="1"/>
  <c r="AR146" i="2"/>
  <c r="AW146" i="2"/>
  <c r="AI123" i="2"/>
  <c r="AO123" i="2" s="1"/>
  <c r="AX146" i="2"/>
  <c r="AR123" i="2"/>
  <c r="AY146" i="2"/>
  <c r="AY176" i="2"/>
  <c r="AQ176" i="2"/>
  <c r="AX176" i="2"/>
  <c r="AK176" i="2"/>
  <c r="AW176" i="2"/>
  <c r="AV176" i="2"/>
  <c r="AT176" i="2"/>
  <c r="AR176" i="2"/>
  <c r="AJ176" i="2"/>
  <c r="AP176" i="2" s="1"/>
  <c r="AU176" i="2"/>
  <c r="AI176" i="2"/>
  <c r="AO176" i="2" s="1"/>
  <c r="AJ117" i="2"/>
  <c r="AP117" i="2" s="1"/>
  <c r="AT117" i="2"/>
  <c r="AY117" i="2"/>
  <c r="AR117" i="2"/>
  <c r="AV117" i="2"/>
  <c r="AI117" i="2"/>
  <c r="AO117" i="2" s="1"/>
  <c r="AX117" i="2"/>
  <c r="AQ117" i="2"/>
  <c r="AW117" i="2"/>
  <c r="AK117" i="2"/>
  <c r="AU117" i="2"/>
  <c r="AT123" i="2"/>
  <c r="AW123" i="2"/>
  <c r="AX123" i="2"/>
  <c r="AX301" i="2"/>
  <c r="AR301" i="2"/>
  <c r="AQ301" i="2"/>
  <c r="AW301" i="2"/>
  <c r="AJ301" i="2"/>
  <c r="AP301" i="2" s="1"/>
  <c r="AV301" i="2"/>
  <c r="AK301" i="2"/>
  <c r="AU301" i="2"/>
  <c r="AI301" i="2"/>
  <c r="AO301" i="2" s="1"/>
  <c r="AT301" i="2"/>
  <c r="AY301" i="2"/>
  <c r="AV72" i="2"/>
  <c r="AI72" i="2"/>
  <c r="AO72" i="2" s="1"/>
  <c r="AU72" i="2"/>
  <c r="AQ72" i="2"/>
  <c r="AX72" i="2"/>
  <c r="AT72" i="2"/>
  <c r="AJ72" i="2"/>
  <c r="AP72" i="2" s="1"/>
  <c r="AR72" i="2"/>
  <c r="AY72" i="2"/>
  <c r="AK72" i="2"/>
  <c r="AW72" i="2"/>
  <c r="AJ306" i="2"/>
  <c r="AP306" i="2" s="1"/>
  <c r="AJ215" i="2"/>
  <c r="AP215" i="2" s="1"/>
  <c r="AJ46" i="2"/>
  <c r="AP46" i="2" s="1"/>
  <c r="AJ294" i="2"/>
  <c r="AP294" i="2" s="1"/>
  <c r="AS326" i="2"/>
  <c r="AJ307" i="2"/>
  <c r="AP307" i="2" s="1"/>
  <c r="AJ47" i="2"/>
  <c r="AP47" i="2" s="1"/>
  <c r="AY215" i="2"/>
  <c r="AX215" i="2"/>
  <c r="AW215" i="2"/>
  <c r="AV215" i="2"/>
  <c r="AU215" i="2"/>
  <c r="AT215" i="2"/>
  <c r="AU277" i="2"/>
  <c r="AK307" i="2"/>
  <c r="AY307" i="2"/>
  <c r="AX307" i="2"/>
  <c r="AW307" i="2"/>
  <c r="AV307" i="2"/>
  <c r="AU307" i="2"/>
  <c r="AT307" i="2"/>
  <c r="AY47" i="2"/>
  <c r="AX47" i="2"/>
  <c r="AW47" i="2"/>
  <c r="AU47" i="2"/>
  <c r="AV47" i="2"/>
  <c r="AT47" i="2"/>
  <c r="AY46" i="2"/>
  <c r="AX46" i="2"/>
  <c r="AW46" i="2"/>
  <c r="AV46" i="2"/>
  <c r="AU46" i="2"/>
  <c r="AT46" i="2"/>
  <c r="AY294" i="2"/>
  <c r="AX294" i="2"/>
  <c r="AW294" i="2"/>
  <c r="AU294" i="2"/>
  <c r="AV294" i="2"/>
  <c r="AT294" i="2"/>
  <c r="AY306" i="2"/>
  <c r="AX306" i="2"/>
  <c r="AW306" i="2"/>
  <c r="AU306" i="2"/>
  <c r="AV306" i="2"/>
  <c r="AT306" i="2"/>
  <c r="Y6" i="3"/>
  <c r="X6" i="3"/>
  <c r="U17" i="3"/>
  <c r="AR46" i="2"/>
  <c r="AQ46" i="2"/>
  <c r="X19" i="3"/>
  <c r="X14" i="3"/>
  <c r="Y19" i="3"/>
  <c r="T17" i="3"/>
  <c r="Y14" i="3"/>
  <c r="W17" i="3"/>
  <c r="V17" i="3"/>
  <c r="Q17" i="3"/>
  <c r="R17" i="3"/>
  <c r="T20" i="3"/>
  <c r="AI46" i="2"/>
  <c r="AO46" i="2" s="1"/>
  <c r="AK46" i="2"/>
  <c r="Y18" i="3"/>
  <c r="S20" i="3"/>
  <c r="X18" i="3"/>
  <c r="V20" i="3"/>
  <c r="U20" i="3"/>
  <c r="W20" i="3"/>
  <c r="Q20" i="3"/>
  <c r="AI47" i="2"/>
  <c r="AO47" i="2" s="1"/>
  <c r="AR47" i="2"/>
  <c r="AK47" i="2"/>
  <c r="AQ47" i="2"/>
  <c r="AN324" i="2"/>
  <c r="AS174" i="2"/>
  <c r="AN325" i="2"/>
  <c r="AS325" i="2"/>
  <c r="AN174" i="2"/>
  <c r="AN82" i="2"/>
  <c r="AN305" i="2"/>
  <c r="AS302" i="2"/>
  <c r="AN326" i="2"/>
  <c r="AS82" i="2"/>
  <c r="AN302" i="2"/>
  <c r="AS322" i="2"/>
  <c r="AN322" i="2"/>
  <c r="AS324" i="2"/>
  <c r="AI307" i="2"/>
  <c r="AO307" i="2" s="1"/>
  <c r="AQ307" i="2"/>
  <c r="AR307" i="2"/>
  <c r="AK306" i="2"/>
  <c r="AQ306" i="2"/>
  <c r="AR306" i="2"/>
  <c r="AI306" i="2"/>
  <c r="AS303" i="2"/>
  <c r="AS305" i="2"/>
  <c r="AN303" i="2"/>
  <c r="K10" i="4"/>
  <c r="K19" i="4" s="1"/>
  <c r="AS323" i="2"/>
  <c r="G29" i="4"/>
  <c r="I10" i="4"/>
  <c r="AS304" i="2"/>
  <c r="AQ215" i="2"/>
  <c r="AK215" i="2"/>
  <c r="AR215" i="2"/>
  <c r="AI215" i="2"/>
  <c r="AO215" i="2" s="1"/>
  <c r="AI294" i="2"/>
  <c r="AO294" i="2" s="1"/>
  <c r="AR294" i="2"/>
  <c r="AQ294" i="2"/>
  <c r="AK294" i="2"/>
  <c r="AN323" i="2"/>
  <c r="AN304" i="2"/>
  <c r="F310" i="2"/>
  <c r="AS321" i="2" l="1"/>
  <c r="AN321" i="2"/>
  <c r="AE300" i="2"/>
  <c r="AH300" i="2" s="1"/>
  <c r="AN162" i="2"/>
  <c r="M310" i="2"/>
  <c r="N310" i="2"/>
  <c r="AS161" i="2"/>
  <c r="AN34" i="2"/>
  <c r="AS34" i="2"/>
  <c r="AS31" i="2"/>
  <c r="AN21" i="2"/>
  <c r="AS136" i="2"/>
  <c r="AN32" i="2"/>
  <c r="AS32" i="2"/>
  <c r="AN81" i="2"/>
  <c r="AS29" i="2"/>
  <c r="AD309" i="2"/>
  <c r="AE309" i="2" s="1"/>
  <c r="AG309" i="2" s="1"/>
  <c r="AH309" i="2" s="1"/>
  <c r="AS175" i="2"/>
  <c r="AN23" i="2"/>
  <c r="AS81" i="2"/>
  <c r="AS151" i="2"/>
  <c r="AN151" i="2"/>
  <c r="AN44" i="2"/>
  <c r="AS36" i="2"/>
  <c r="AN29" i="2"/>
  <c r="AN9" i="2"/>
  <c r="AS9" i="2"/>
  <c r="AS75" i="2"/>
  <c r="AN175" i="2"/>
  <c r="AS43" i="2"/>
  <c r="AS106" i="2"/>
  <c r="AS94" i="2"/>
  <c r="AN27" i="2"/>
  <c r="AN57" i="2"/>
  <c r="AN43" i="2"/>
  <c r="AS27" i="2"/>
  <c r="AS76" i="2"/>
  <c r="AS162" i="2"/>
  <c r="AN94" i="2"/>
  <c r="AN20" i="2"/>
  <c r="AS57" i="2"/>
  <c r="AS44" i="2"/>
  <c r="AS16" i="2"/>
  <c r="AN76" i="2"/>
  <c r="AN16" i="2"/>
  <c r="AS20" i="2"/>
  <c r="AS24" i="2"/>
  <c r="AS13" i="2"/>
  <c r="AN24" i="2"/>
  <c r="AN106" i="2"/>
  <c r="AS113" i="2"/>
  <c r="AS88" i="2"/>
  <c r="AS23" i="2"/>
  <c r="AS22" i="2"/>
  <c r="AN49" i="2"/>
  <c r="AS124" i="2"/>
  <c r="AS49" i="2"/>
  <c r="AN50" i="2"/>
  <c r="AN113" i="2"/>
  <c r="AN22" i="2"/>
  <c r="AN157" i="2"/>
  <c r="AS159" i="2"/>
  <c r="AS93" i="2"/>
  <c r="AS50" i="2"/>
  <c r="AN68" i="2"/>
  <c r="AS153" i="2"/>
  <c r="AN19" i="2"/>
  <c r="AS67" i="2"/>
  <c r="AS168" i="2"/>
  <c r="AS111" i="2"/>
  <c r="AS78" i="2"/>
  <c r="AS68" i="2"/>
  <c r="AS177" i="2"/>
  <c r="AS121" i="2"/>
  <c r="AS87" i="2"/>
  <c r="AN177" i="2"/>
  <c r="AN171" i="2"/>
  <c r="AN138" i="2"/>
  <c r="AS19" i="2"/>
  <c r="AN103" i="2"/>
  <c r="AS103" i="2"/>
  <c r="AN93" i="2"/>
  <c r="AS157" i="2"/>
  <c r="AS152" i="2"/>
  <c r="AS138" i="2"/>
  <c r="AS127" i="2"/>
  <c r="AN150" i="2"/>
  <c r="AS171" i="2"/>
  <c r="AN168" i="2"/>
  <c r="AN111" i="2"/>
  <c r="AS90" i="2"/>
  <c r="AS17" i="2"/>
  <c r="AS122" i="2"/>
  <c r="AN161" i="2"/>
  <c r="AN31" i="2"/>
  <c r="AN90" i="2"/>
  <c r="AS150" i="2"/>
  <c r="AN152" i="2"/>
  <c r="AN124" i="2"/>
  <c r="AN87" i="2"/>
  <c r="AN121" i="2"/>
  <c r="AN67" i="2"/>
  <c r="AN122" i="2"/>
  <c r="AS83" i="2"/>
  <c r="AS133" i="2"/>
  <c r="AN83" i="2"/>
  <c r="AN41" i="2"/>
  <c r="AN179" i="2"/>
  <c r="AN144" i="2"/>
  <c r="AN25" i="2"/>
  <c r="AS166" i="2"/>
  <c r="AN85" i="2"/>
  <c r="AS165" i="2"/>
  <c r="AS179" i="2"/>
  <c r="AS52" i="2"/>
  <c r="AS33" i="2"/>
  <c r="AN127" i="2"/>
  <c r="AN33" i="2"/>
  <c r="AN153" i="2"/>
  <c r="AN13" i="2"/>
  <c r="AN170" i="2"/>
  <c r="AS62" i="2"/>
  <c r="AS92" i="2"/>
  <c r="AS184" i="2"/>
  <c r="AS86" i="2"/>
  <c r="AS130" i="2"/>
  <c r="AS98" i="2"/>
  <c r="AS58" i="2"/>
  <c r="AN58" i="2"/>
  <c r="AN62" i="2"/>
  <c r="AN184" i="2"/>
  <c r="AS125" i="2"/>
  <c r="AN53" i="2"/>
  <c r="AS144" i="2"/>
  <c r="AN26" i="2"/>
  <c r="AS25" i="2"/>
  <c r="AS170" i="2"/>
  <c r="AN92" i="2"/>
  <c r="AN137" i="2"/>
  <c r="AS26" i="2"/>
  <c r="AS137" i="2"/>
  <c r="AS102" i="2"/>
  <c r="AS79" i="2"/>
  <c r="AN78" i="2"/>
  <c r="AN182" i="2"/>
  <c r="AN86" i="2"/>
  <c r="AN166" i="2"/>
  <c r="AS35" i="2"/>
  <c r="AS21" i="2"/>
  <c r="AN102" i="2"/>
  <c r="AS182" i="2"/>
  <c r="AS128" i="2"/>
  <c r="AN131" i="2"/>
  <c r="AS10" i="2"/>
  <c r="AS164" i="2"/>
  <c r="AS160" i="2"/>
  <c r="AN116" i="2"/>
  <c r="AN10" i="2"/>
  <c r="AS28" i="2"/>
  <c r="AN54" i="2"/>
  <c r="AN189" i="2"/>
  <c r="AN59" i="2"/>
  <c r="E29" i="4"/>
  <c r="AN14" i="2"/>
  <c r="AN17" i="2"/>
  <c r="AN28" i="2"/>
  <c r="AS115" i="2"/>
  <c r="AN98" i="2"/>
  <c r="AS15" i="2"/>
  <c r="AS129" i="2"/>
  <c r="AN75" i="2"/>
  <c r="AN118" i="2"/>
  <c r="AN135" i="2"/>
  <c r="AS169" i="2"/>
  <c r="AN136" i="2"/>
  <c r="AN143" i="2"/>
  <c r="AS89" i="2"/>
  <c r="AS135" i="2"/>
  <c r="AS18" i="2"/>
  <c r="AN128" i="2"/>
  <c r="AN169" i="2"/>
  <c r="AN165" i="2"/>
  <c r="AN159" i="2"/>
  <c r="AS119" i="2"/>
  <c r="AS187" i="2"/>
  <c r="AS145" i="2"/>
  <c r="AS84" i="2"/>
  <c r="AN36" i="2"/>
  <c r="AN89" i="2"/>
  <c r="AN172" i="2"/>
  <c r="AN88" i="2"/>
  <c r="AS120" i="2"/>
  <c r="AS56" i="2"/>
  <c r="AS60" i="2"/>
  <c r="AS14" i="2"/>
  <c r="AN130" i="2"/>
  <c r="AS189" i="2"/>
  <c r="AN39" i="2"/>
  <c r="AS173" i="2"/>
  <c r="AS142" i="2"/>
  <c r="AS38" i="2"/>
  <c r="AS180" i="2"/>
  <c r="AN163" i="2"/>
  <c r="AN104" i="2"/>
  <c r="AN99" i="2"/>
  <c r="AS104" i="2"/>
  <c r="AN178" i="2"/>
  <c r="AN11" i="2"/>
  <c r="AN183" i="2"/>
  <c r="AS40" i="2"/>
  <c r="AN142" i="2"/>
  <c r="AN120" i="2"/>
  <c r="AN60" i="2"/>
  <c r="AN38" i="2"/>
  <c r="AN164" i="2"/>
  <c r="AN100" i="2"/>
  <c r="AS178" i="2"/>
  <c r="AN45" i="2"/>
  <c r="AS131" i="2"/>
  <c r="AS107" i="2"/>
  <c r="AS39" i="2"/>
  <c r="AN73" i="2"/>
  <c r="AS181" i="2"/>
  <c r="AY158" i="2"/>
  <c r="AS54" i="2"/>
  <c r="AN101" i="2"/>
  <c r="AS100" i="2"/>
  <c r="AS11" i="2"/>
  <c r="AS71" i="2"/>
  <c r="AS73" i="2"/>
  <c r="AS53" i="2"/>
  <c r="AS64" i="2"/>
  <c r="AN180" i="2"/>
  <c r="AS30" i="2"/>
  <c r="AS45" i="2"/>
  <c r="AS190" i="2"/>
  <c r="AS85" i="2"/>
  <c r="AS163" i="2"/>
  <c r="AS108" i="2"/>
  <c r="AS183" i="2"/>
  <c r="AS99" i="2"/>
  <c r="AS185" i="2"/>
  <c r="AS126" i="2"/>
  <c r="AS96" i="2"/>
  <c r="AS188" i="2"/>
  <c r="AS147" i="2"/>
  <c r="AN55" i="2"/>
  <c r="AS41" i="2"/>
  <c r="AS118" i="2"/>
  <c r="AN148" i="2"/>
  <c r="AN108" i="2"/>
  <c r="AN30" i="2"/>
  <c r="AN18" i="2"/>
  <c r="AN35" i="2"/>
  <c r="AN190" i="2"/>
  <c r="AS80" i="2"/>
  <c r="AX232" i="2"/>
  <c r="AW232" i="2"/>
  <c r="AT232" i="2"/>
  <c r="AR232" i="2"/>
  <c r="AV232" i="2"/>
  <c r="AY232" i="2"/>
  <c r="AU232" i="2"/>
  <c r="AI232" i="2"/>
  <c r="AO232" i="2" s="1"/>
  <c r="AQ232" i="2"/>
  <c r="AK232" i="2"/>
  <c r="AJ232" i="2"/>
  <c r="AP232" i="2" s="1"/>
  <c r="AN185" i="2"/>
  <c r="AN140" i="2"/>
  <c r="AN147" i="2"/>
  <c r="AN84" i="2"/>
  <c r="AN125" i="2"/>
  <c r="AV158" i="2"/>
  <c r="AN181" i="2"/>
  <c r="AN115" i="2"/>
  <c r="AN145" i="2"/>
  <c r="AW158" i="2"/>
  <c r="AX158" i="2"/>
  <c r="AN40" i="2"/>
  <c r="AN119" i="2"/>
  <c r="AN96" i="2"/>
  <c r="AN79" i="2"/>
  <c r="AN188" i="2"/>
  <c r="AN187" i="2"/>
  <c r="AS48" i="2"/>
  <c r="AS110" i="2"/>
  <c r="AS77" i="2"/>
  <c r="AN173" i="2"/>
  <c r="AN56" i="2"/>
  <c r="AS116" i="2"/>
  <c r="AN126" i="2"/>
  <c r="AS42" i="2"/>
  <c r="AS61" i="2"/>
  <c r="AN69" i="2"/>
  <c r="AN80" i="2"/>
  <c r="AN129" i="2"/>
  <c r="AN71" i="2"/>
  <c r="AN160" i="2"/>
  <c r="AS91" i="2"/>
  <c r="AS97" i="2"/>
  <c r="AS59" i="2"/>
  <c r="AS134" i="2"/>
  <c r="AS172" i="2"/>
  <c r="AS148" i="2"/>
  <c r="AS140" i="2"/>
  <c r="AN61" i="2"/>
  <c r="AN48" i="2"/>
  <c r="AN139" i="2"/>
  <c r="AS112" i="2"/>
  <c r="AS141" i="2"/>
  <c r="AS149" i="2"/>
  <c r="AS132" i="2"/>
  <c r="AN107" i="2"/>
  <c r="AS143" i="2"/>
  <c r="AS55" i="2"/>
  <c r="AS101" i="2"/>
  <c r="AS139" i="2"/>
  <c r="AS156" i="2"/>
  <c r="AN149" i="2"/>
  <c r="AN77" i="2"/>
  <c r="AN133" i="2"/>
  <c r="AN132" i="2"/>
  <c r="AS63" i="2"/>
  <c r="AS154" i="2"/>
  <c r="AS167" i="2"/>
  <c r="AN52" i="2"/>
  <c r="AN141" i="2"/>
  <c r="AN42" i="2"/>
  <c r="AN110" i="2"/>
  <c r="AN63" i="2"/>
  <c r="AN167" i="2"/>
  <c r="AK158" i="2"/>
  <c r="F27" i="4" s="1"/>
  <c r="AR158" i="2"/>
  <c r="F8" i="4"/>
  <c r="AN134" i="2"/>
  <c r="AN156" i="2"/>
  <c r="AN64" i="2"/>
  <c r="AN112" i="2"/>
  <c r="AU158" i="2"/>
  <c r="AQ158" i="2"/>
  <c r="AN91" i="2"/>
  <c r="AT158" i="2"/>
  <c r="AN97" i="2"/>
  <c r="AJ158" i="2"/>
  <c r="AP158" i="2" s="1"/>
  <c r="AN154" i="2"/>
  <c r="AI158" i="2"/>
  <c r="AO158" i="2" s="1"/>
  <c r="AY233" i="2"/>
  <c r="AI233" i="2"/>
  <c r="AO233" i="2" s="1"/>
  <c r="AU194" i="2"/>
  <c r="AI194" i="2"/>
  <c r="AO194" i="2" s="1"/>
  <c r="AR194" i="2"/>
  <c r="AV194" i="2"/>
  <c r="AQ194" i="2"/>
  <c r="AT194" i="2"/>
  <c r="AJ194" i="2"/>
  <c r="AP194" i="2" s="1"/>
  <c r="AY194" i="2"/>
  <c r="AX194" i="2"/>
  <c r="AK194" i="2"/>
  <c r="AW194" i="2"/>
  <c r="AN70" i="2"/>
  <c r="AS74" i="2"/>
  <c r="AS66" i="2"/>
  <c r="AS70" i="2"/>
  <c r="AN74" i="2"/>
  <c r="AS105" i="2"/>
  <c r="AN66" i="2"/>
  <c r="AN105" i="2"/>
  <c r="AN15" i="2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R287" i="2"/>
  <c r="AI209" i="2"/>
  <c r="AO209" i="2" s="1"/>
  <c r="AI288" i="2"/>
  <c r="AO288" i="2" s="1"/>
  <c r="AQ209" i="2"/>
  <c r="AR288" i="2"/>
  <c r="AX203" i="2"/>
  <c r="AW203" i="2"/>
  <c r="AR276" i="2"/>
  <c r="AI276" i="2"/>
  <c r="AO276" i="2" s="1"/>
  <c r="AY290" i="2"/>
  <c r="AT276" i="2"/>
  <c r="AR291" i="2"/>
  <c r="AY276" i="2"/>
  <c r="AQ287" i="2"/>
  <c r="AR217" i="2"/>
  <c r="AQ290" i="2"/>
  <c r="AV290" i="2"/>
  <c r="AQ258" i="2"/>
  <c r="AI217" i="2"/>
  <c r="AO217" i="2" s="1"/>
  <c r="AI290" i="2"/>
  <c r="AO290" i="2" s="1"/>
  <c r="AI214" i="2"/>
  <c r="AO214" i="2" s="1"/>
  <c r="AU290" i="2"/>
  <c r="AT258" i="2"/>
  <c r="AK217" i="2"/>
  <c r="AK287" i="2"/>
  <c r="AR290" i="2"/>
  <c r="AR214" i="2"/>
  <c r="AT214" i="2"/>
  <c r="AW290" i="2"/>
  <c r="AU258" i="2"/>
  <c r="AT217" i="2"/>
  <c r="AK258" i="2"/>
  <c r="AI258" i="2"/>
  <c r="AO258" i="2" s="1"/>
  <c r="AR258" i="2"/>
  <c r="AK274" i="2"/>
  <c r="AI287" i="2"/>
  <c r="AO287" i="2" s="1"/>
  <c r="AX287" i="2"/>
  <c r="AV214" i="2"/>
  <c r="AX290" i="2"/>
  <c r="AX258" i="2"/>
  <c r="AK276" i="2"/>
  <c r="AW276" i="2"/>
  <c r="AX217" i="2"/>
  <c r="AR196" i="2"/>
  <c r="AQ276" i="2"/>
  <c r="AK290" i="2"/>
  <c r="AT290" i="2"/>
  <c r="AW217" i="2"/>
  <c r="AI275" i="2"/>
  <c r="AO275" i="2" s="1"/>
  <c r="AR275" i="2"/>
  <c r="AY274" i="2"/>
  <c r="AN114" i="2"/>
  <c r="AJ250" i="2"/>
  <c r="AP250" i="2" s="1"/>
  <c r="AR211" i="2"/>
  <c r="AK234" i="2"/>
  <c r="AV217" i="2"/>
  <c r="AU214" i="2"/>
  <c r="AJ217" i="2"/>
  <c r="AP217" i="2" s="1"/>
  <c r="AT205" i="2"/>
  <c r="AI262" i="2"/>
  <c r="AO262" i="2" s="1"/>
  <c r="AY287" i="2"/>
  <c r="AJ274" i="2"/>
  <c r="AP274" i="2" s="1"/>
  <c r="AY282" i="2"/>
  <c r="AR262" i="2"/>
  <c r="AR250" i="2"/>
  <c r="AU255" i="2"/>
  <c r="AK282" i="2"/>
  <c r="AW262" i="2"/>
  <c r="AX282" i="2"/>
  <c r="AW258" i="2"/>
  <c r="AQ274" i="2"/>
  <c r="AU287" i="2"/>
  <c r="AU276" i="2"/>
  <c r="AY258" i="2"/>
  <c r="AJ276" i="2"/>
  <c r="AP276" i="2" s="1"/>
  <c r="AV287" i="2"/>
  <c r="AV276" i="2"/>
  <c r="AJ290" i="2"/>
  <c r="AP290" i="2" s="1"/>
  <c r="AJ258" i="2"/>
  <c r="AP258" i="2" s="1"/>
  <c r="AI274" i="2"/>
  <c r="AO274" i="2" s="1"/>
  <c r="AR274" i="2"/>
  <c r="AW287" i="2"/>
  <c r="AX276" i="2"/>
  <c r="AV258" i="2"/>
  <c r="AV274" i="2"/>
  <c r="AV211" i="2"/>
  <c r="AR234" i="2"/>
  <c r="AU274" i="2"/>
  <c r="AJ260" i="2"/>
  <c r="AP260" i="2" s="1"/>
  <c r="AI239" i="2"/>
  <c r="AO239" i="2" s="1"/>
  <c r="AI205" i="2"/>
  <c r="AO205" i="2" s="1"/>
  <c r="AW214" i="2"/>
  <c r="AJ205" i="2"/>
  <c r="AP205" i="2" s="1"/>
  <c r="AJ239" i="2"/>
  <c r="AP239" i="2" s="1"/>
  <c r="AR279" i="2"/>
  <c r="AQ214" i="2"/>
  <c r="AX214" i="2"/>
  <c r="AU275" i="2"/>
  <c r="AU217" i="2"/>
  <c r="AY234" i="2"/>
  <c r="AW220" i="2"/>
  <c r="AY214" i="2"/>
  <c r="AU239" i="2"/>
  <c r="AV279" i="2"/>
  <c r="AQ217" i="2"/>
  <c r="AK214" i="2"/>
  <c r="AY217" i="2"/>
  <c r="AU209" i="2"/>
  <c r="AJ214" i="2"/>
  <c r="AP214" i="2" s="1"/>
  <c r="AU289" i="2"/>
  <c r="AQ234" i="2"/>
  <c r="AQ279" i="2"/>
  <c r="AW279" i="2"/>
  <c r="AV205" i="2"/>
  <c r="AV239" i="2"/>
  <c r="AJ279" i="2"/>
  <c r="AP279" i="2" s="1"/>
  <c r="AX279" i="2"/>
  <c r="AW205" i="2"/>
  <c r="AW239" i="2"/>
  <c r="AJ234" i="2"/>
  <c r="AP234" i="2" s="1"/>
  <c r="AK205" i="2"/>
  <c r="AK239" i="2"/>
  <c r="AQ205" i="2"/>
  <c r="AQ239" i="2"/>
  <c r="AY279" i="2"/>
  <c r="AX205" i="2"/>
  <c r="AX239" i="2"/>
  <c r="AT234" i="2"/>
  <c r="AY205" i="2"/>
  <c r="AY239" i="2"/>
  <c r="AV234" i="2"/>
  <c r="AR205" i="2"/>
  <c r="AR239" i="2"/>
  <c r="AU234" i="2"/>
  <c r="AT279" i="2"/>
  <c r="AW234" i="2"/>
  <c r="AK279" i="2"/>
  <c r="AI234" i="2"/>
  <c r="AO234" i="2" s="1"/>
  <c r="AI279" i="2"/>
  <c r="AO279" i="2" s="1"/>
  <c r="AU279" i="2"/>
  <c r="AU205" i="2"/>
  <c r="AT239" i="2"/>
  <c r="AX234" i="2"/>
  <c r="AV262" i="2"/>
  <c r="AQ249" i="2"/>
  <c r="AT287" i="2"/>
  <c r="AT274" i="2"/>
  <c r="AW282" i="2"/>
  <c r="AY250" i="2"/>
  <c r="AU262" i="2"/>
  <c r="AQ282" i="2"/>
  <c r="AW274" i="2"/>
  <c r="AV275" i="2"/>
  <c r="AT222" i="2"/>
  <c r="AT250" i="2"/>
  <c r="AY262" i="2"/>
  <c r="AJ262" i="2"/>
  <c r="AP262" i="2" s="1"/>
  <c r="AJ212" i="2"/>
  <c r="AP212" i="2" s="1"/>
  <c r="AK262" i="2"/>
  <c r="AQ250" i="2"/>
  <c r="AQ262" i="2"/>
  <c r="AI282" i="2"/>
  <c r="AO282" i="2" s="1"/>
  <c r="AI250" i="2"/>
  <c r="AO250" i="2" s="1"/>
  <c r="AX274" i="2"/>
  <c r="AU250" i="2"/>
  <c r="AU223" i="2"/>
  <c r="AJ223" i="2"/>
  <c r="AP223" i="2" s="1"/>
  <c r="AJ275" i="2"/>
  <c r="AP275" i="2" s="1"/>
  <c r="AT282" i="2"/>
  <c r="AV250" i="2"/>
  <c r="AR282" i="2"/>
  <c r="AK250" i="2"/>
  <c r="AV282" i="2"/>
  <c r="AW250" i="2"/>
  <c r="AT262" i="2"/>
  <c r="AJ287" i="2"/>
  <c r="AP287" i="2" s="1"/>
  <c r="AX262" i="2"/>
  <c r="AR222" i="2"/>
  <c r="AR218" i="2"/>
  <c r="AU282" i="2"/>
  <c r="AX250" i="2"/>
  <c r="AV222" i="2"/>
  <c r="AV218" i="2"/>
  <c r="AW222" i="2"/>
  <c r="AX222" i="2"/>
  <c r="AT212" i="2"/>
  <c r="AJ230" i="2"/>
  <c r="AP230" i="2" s="1"/>
  <c r="AI230" i="2"/>
  <c r="AO230" i="2" s="1"/>
  <c r="AQ222" i="2"/>
  <c r="AN186" i="2"/>
  <c r="AY222" i="2"/>
  <c r="AX299" i="2"/>
  <c r="AI222" i="2"/>
  <c r="AO222" i="2" s="1"/>
  <c r="AQ299" i="2"/>
  <c r="AK266" i="2"/>
  <c r="AJ299" i="2"/>
  <c r="AP299" i="2" s="1"/>
  <c r="AN65" i="2"/>
  <c r="AS37" i="2"/>
  <c r="AQ212" i="2"/>
  <c r="AK222" i="2"/>
  <c r="AV266" i="2"/>
  <c r="AU222" i="2"/>
  <c r="AY249" i="2"/>
  <c r="AJ222" i="2"/>
  <c r="AP222" i="2" s="1"/>
  <c r="AY231" i="2"/>
  <c r="AV246" i="2"/>
  <c r="AS114" i="2"/>
  <c r="AN37" i="2"/>
  <c r="AV226" i="2"/>
  <c r="AK226" i="2"/>
  <c r="AU226" i="2"/>
  <c r="AT246" i="2"/>
  <c r="AK209" i="2"/>
  <c r="AK291" i="2"/>
  <c r="AI231" i="2"/>
  <c r="AI291" i="2"/>
  <c r="AO291" i="2" s="1"/>
  <c r="AK275" i="2"/>
  <c r="AK231" i="2"/>
  <c r="AI226" i="2"/>
  <c r="AO226" i="2" s="1"/>
  <c r="AQ288" i="2"/>
  <c r="AV203" i="2"/>
  <c r="AX231" i="2"/>
  <c r="AT275" i="2"/>
  <c r="AW260" i="2"/>
  <c r="AT226" i="2"/>
  <c r="AY291" i="2"/>
  <c r="AU246" i="2"/>
  <c r="AJ246" i="2"/>
  <c r="AP246" i="2" s="1"/>
  <c r="AJ231" i="2"/>
  <c r="AP231" i="2" s="1"/>
  <c r="AR246" i="2"/>
  <c r="AR209" i="2"/>
  <c r="AQ203" i="2"/>
  <c r="AK288" i="2"/>
  <c r="AS65" i="2"/>
  <c r="AY203" i="2"/>
  <c r="AV256" i="2"/>
  <c r="AW275" i="2"/>
  <c r="AT260" i="2"/>
  <c r="AW226" i="2"/>
  <c r="AT291" i="2"/>
  <c r="AW246" i="2"/>
  <c r="AS109" i="2"/>
  <c r="AT231" i="2"/>
  <c r="AX275" i="2"/>
  <c r="AU260" i="2"/>
  <c r="AX226" i="2"/>
  <c r="AU291" i="2"/>
  <c r="AX246" i="2"/>
  <c r="AR260" i="2"/>
  <c r="AQ246" i="2"/>
  <c r="AQ231" i="2"/>
  <c r="AR203" i="2"/>
  <c r="AI260" i="2"/>
  <c r="AO260" i="2" s="1"/>
  <c r="AU231" i="2"/>
  <c r="AY275" i="2"/>
  <c r="AV260" i="2"/>
  <c r="AY226" i="2"/>
  <c r="AV291" i="2"/>
  <c r="AY246" i="2"/>
  <c r="AJ203" i="2"/>
  <c r="AP203" i="2" s="1"/>
  <c r="AJ226" i="2"/>
  <c r="AP226" i="2" s="1"/>
  <c r="AS186" i="2"/>
  <c r="AI246" i="2"/>
  <c r="AO246" i="2" s="1"/>
  <c r="AK246" i="2"/>
  <c r="AK203" i="2"/>
  <c r="AK260" i="2"/>
  <c r="AU203" i="2"/>
  <c r="AV231" i="2"/>
  <c r="AX260" i="2"/>
  <c r="AW291" i="2"/>
  <c r="AJ291" i="2"/>
  <c r="AP291" i="2" s="1"/>
  <c r="AS123" i="2"/>
  <c r="AQ226" i="2"/>
  <c r="AN176" i="2"/>
  <c r="AI203" i="2"/>
  <c r="AO203" i="2" s="1"/>
  <c r="AQ291" i="2"/>
  <c r="AQ275" i="2"/>
  <c r="AR231" i="2"/>
  <c r="AR226" i="2"/>
  <c r="AQ260" i="2"/>
  <c r="AT203" i="2"/>
  <c r="AW231" i="2"/>
  <c r="AY260" i="2"/>
  <c r="AX291" i="2"/>
  <c r="AR237" i="2"/>
  <c r="AT237" i="2"/>
  <c r="AY257" i="2"/>
  <c r="AQ257" i="2"/>
  <c r="AX280" i="2"/>
  <c r="AW280" i="2"/>
  <c r="AI280" i="2"/>
  <c r="AO280" i="2" s="1"/>
  <c r="AV280" i="2"/>
  <c r="AU280" i="2"/>
  <c r="AJ280" i="2"/>
  <c r="AP280" i="2" s="1"/>
  <c r="AT280" i="2"/>
  <c r="AK280" i="2"/>
  <c r="AR280" i="2"/>
  <c r="AY280" i="2"/>
  <c r="AQ280" i="2"/>
  <c r="AJ210" i="2"/>
  <c r="AP210" i="2" s="1"/>
  <c r="AT210" i="2"/>
  <c r="AR210" i="2"/>
  <c r="AK210" i="2"/>
  <c r="AV210" i="2"/>
  <c r="AI210" i="2"/>
  <c r="AO210" i="2" s="1"/>
  <c r="AQ210" i="2"/>
  <c r="AY210" i="2"/>
  <c r="AX210" i="2"/>
  <c r="AW210" i="2"/>
  <c r="AU210" i="2"/>
  <c r="AR284" i="2"/>
  <c r="AT272" i="2"/>
  <c r="AI272" i="2"/>
  <c r="AO272" i="2" s="1"/>
  <c r="AT283" i="2"/>
  <c r="AQ283" i="2"/>
  <c r="AK283" i="2"/>
  <c r="AY283" i="2"/>
  <c r="AX283" i="2"/>
  <c r="AU283" i="2"/>
  <c r="AJ283" i="2"/>
  <c r="AP283" i="2" s="1"/>
  <c r="AW283" i="2"/>
  <c r="AR283" i="2"/>
  <c r="AV283" i="2"/>
  <c r="AI283" i="2"/>
  <c r="AO283" i="2" s="1"/>
  <c r="AI211" i="2"/>
  <c r="AO211" i="2" s="1"/>
  <c r="AK227" i="2"/>
  <c r="AI271" i="2"/>
  <c r="AO271" i="2" s="1"/>
  <c r="AY227" i="2"/>
  <c r="AW244" i="2"/>
  <c r="AT211" i="2"/>
  <c r="AK211" i="2"/>
  <c r="AN155" i="2"/>
  <c r="AY207" i="2"/>
  <c r="AW211" i="2"/>
  <c r="AJ282" i="2"/>
  <c r="AP282" i="2" s="1"/>
  <c r="AW208" i="2"/>
  <c r="AN109" i="2"/>
  <c r="AU227" i="2"/>
  <c r="AX211" i="2"/>
  <c r="AS51" i="2"/>
  <c r="AS155" i="2"/>
  <c r="AN123" i="2"/>
  <c r="AT227" i="2"/>
  <c r="AY211" i="2"/>
  <c r="AQ227" i="2"/>
  <c r="AV227" i="2"/>
  <c r="AT271" i="2"/>
  <c r="AJ211" i="2"/>
  <c r="AP211" i="2" s="1"/>
  <c r="AI227" i="2"/>
  <c r="AO227" i="2" s="1"/>
  <c r="AK207" i="2"/>
  <c r="AW227" i="2"/>
  <c r="AJ227" i="2"/>
  <c r="AP227" i="2" s="1"/>
  <c r="AQ211" i="2"/>
  <c r="AR227" i="2"/>
  <c r="AX227" i="2"/>
  <c r="AU211" i="2"/>
  <c r="AS176" i="2"/>
  <c r="AS146" i="2"/>
  <c r="AJ235" i="2"/>
  <c r="AP235" i="2" s="1"/>
  <c r="AT235" i="2"/>
  <c r="AU235" i="2"/>
  <c r="AK235" i="2"/>
  <c r="AI235" i="2"/>
  <c r="AO235" i="2" s="1"/>
  <c r="AQ235" i="2"/>
  <c r="AY235" i="2"/>
  <c r="AR235" i="2"/>
  <c r="AW235" i="2"/>
  <c r="AX235" i="2"/>
  <c r="AV235" i="2"/>
  <c r="AU278" i="2"/>
  <c r="AI278" i="2"/>
  <c r="AO278" i="2" s="1"/>
  <c r="AV278" i="2"/>
  <c r="AQ278" i="2"/>
  <c r="AK278" i="2"/>
  <c r="AT278" i="2"/>
  <c r="AX278" i="2"/>
  <c r="AY278" i="2"/>
  <c r="AJ278" i="2"/>
  <c r="AP278" i="2" s="1"/>
  <c r="AW278" i="2"/>
  <c r="AR278" i="2"/>
  <c r="AU286" i="2"/>
  <c r="AI286" i="2"/>
  <c r="AO286" i="2" s="1"/>
  <c r="AX286" i="2"/>
  <c r="AK286" i="2"/>
  <c r="AJ286" i="2"/>
  <c r="AP286" i="2" s="1"/>
  <c r="AT286" i="2"/>
  <c r="AQ286" i="2"/>
  <c r="AV286" i="2"/>
  <c r="AY286" i="2"/>
  <c r="AW286" i="2"/>
  <c r="AR286" i="2"/>
  <c r="AW202" i="2"/>
  <c r="AY202" i="2"/>
  <c r="AU202" i="2"/>
  <c r="AJ202" i="2"/>
  <c r="AP202" i="2" s="1"/>
  <c r="AV202" i="2"/>
  <c r="AR202" i="2"/>
  <c r="AT202" i="2"/>
  <c r="AI202" i="2"/>
  <c r="AO202" i="2" s="1"/>
  <c r="AQ202" i="2"/>
  <c r="AK202" i="2"/>
  <c r="AX202" i="2"/>
  <c r="AK192" i="2"/>
  <c r="AR192" i="2"/>
  <c r="AI192" i="2"/>
  <c r="AO192" i="2" s="1"/>
  <c r="AT192" i="2"/>
  <c r="AU192" i="2"/>
  <c r="AQ192" i="2"/>
  <c r="AV298" i="2"/>
  <c r="AT298" i="2"/>
  <c r="AJ298" i="2"/>
  <c r="AP298" i="2" s="1"/>
  <c r="AR298" i="2"/>
  <c r="AY298" i="2"/>
  <c r="AI298" i="2"/>
  <c r="AO298" i="2" s="1"/>
  <c r="AK298" i="2"/>
  <c r="AX298" i="2"/>
  <c r="AQ298" i="2"/>
  <c r="AW298" i="2"/>
  <c r="AU298" i="2"/>
  <c r="AY206" i="2"/>
  <c r="AK206" i="2"/>
  <c r="AX206" i="2"/>
  <c r="AR206" i="2"/>
  <c r="AW206" i="2"/>
  <c r="AI206" i="2"/>
  <c r="AO206" i="2" s="1"/>
  <c r="AT206" i="2"/>
  <c r="AQ206" i="2"/>
  <c r="AJ206" i="2"/>
  <c r="AP206" i="2" s="1"/>
  <c r="AU206" i="2"/>
  <c r="AV206" i="2"/>
  <c r="AV198" i="2"/>
  <c r="AJ198" i="2"/>
  <c r="AP198" i="2" s="1"/>
  <c r="AT198" i="2"/>
  <c r="AU198" i="2"/>
  <c r="AR198" i="2"/>
  <c r="AX198" i="2"/>
  <c r="AI198" i="2"/>
  <c r="AO198" i="2" s="1"/>
  <c r="AQ198" i="2"/>
  <c r="AY198" i="2"/>
  <c r="AK198" i="2"/>
  <c r="AW198" i="2"/>
  <c r="AU270" i="2"/>
  <c r="AJ270" i="2"/>
  <c r="AP270" i="2" s="1"/>
  <c r="AT270" i="2"/>
  <c r="AV270" i="2"/>
  <c r="AQ270" i="2"/>
  <c r="AK270" i="2"/>
  <c r="AX270" i="2"/>
  <c r="AR270" i="2"/>
  <c r="AY270" i="2"/>
  <c r="AI270" i="2"/>
  <c r="AO270" i="2" s="1"/>
  <c r="AW270" i="2"/>
  <c r="AY238" i="2"/>
  <c r="AI238" i="2"/>
  <c r="AO238" i="2" s="1"/>
  <c r="AX238" i="2"/>
  <c r="AR238" i="2"/>
  <c r="AJ238" i="2"/>
  <c r="AP238" i="2" s="1"/>
  <c r="AW238" i="2"/>
  <c r="AK238" i="2"/>
  <c r="AV238" i="2"/>
  <c r="AT238" i="2"/>
  <c r="AU238" i="2"/>
  <c r="AQ238" i="2"/>
  <c r="AT204" i="2"/>
  <c r="AR204" i="2"/>
  <c r="AJ204" i="2"/>
  <c r="AP204" i="2" s="1"/>
  <c r="AW204" i="2"/>
  <c r="AY204" i="2"/>
  <c r="AV204" i="2"/>
  <c r="AX204" i="2"/>
  <c r="AK204" i="2"/>
  <c r="AQ204" i="2"/>
  <c r="AU204" i="2"/>
  <c r="AI204" i="2"/>
  <c r="AO204" i="2" s="1"/>
  <c r="AI254" i="2"/>
  <c r="AO254" i="2" s="1"/>
  <c r="AR254" i="2"/>
  <c r="AY254" i="2"/>
  <c r="AX254" i="2"/>
  <c r="AK254" i="2"/>
  <c r="AW254" i="2"/>
  <c r="AU254" i="2"/>
  <c r="AT254" i="2"/>
  <c r="AQ254" i="2"/>
  <c r="AJ254" i="2"/>
  <c r="AP254" i="2" s="1"/>
  <c r="AV254" i="2"/>
  <c r="AR219" i="2"/>
  <c r="AT219" i="2"/>
  <c r="AI219" i="2"/>
  <c r="AO219" i="2" s="1"/>
  <c r="AK219" i="2"/>
  <c r="AY219" i="2"/>
  <c r="AX219" i="2"/>
  <c r="AW219" i="2"/>
  <c r="AJ219" i="2"/>
  <c r="AP219" i="2" s="1"/>
  <c r="AV219" i="2"/>
  <c r="AU219" i="2"/>
  <c r="AQ219" i="2"/>
  <c r="AW295" i="2"/>
  <c r="AR295" i="2"/>
  <c r="AV295" i="2"/>
  <c r="AI295" i="2"/>
  <c r="AO295" i="2" s="1"/>
  <c r="AU295" i="2"/>
  <c r="AQ295" i="2"/>
  <c r="AY295" i="2"/>
  <c r="AJ295" i="2"/>
  <c r="AP295" i="2" s="1"/>
  <c r="AT295" i="2"/>
  <c r="AK295" i="2"/>
  <c r="AX295" i="2"/>
  <c r="AK261" i="2"/>
  <c r="AR261" i="2"/>
  <c r="AI261" i="2"/>
  <c r="AO261" i="2" s="1"/>
  <c r="AW261" i="2"/>
  <c r="AQ261" i="2"/>
  <c r="AV261" i="2"/>
  <c r="AQ191" i="2"/>
  <c r="AX236" i="2"/>
  <c r="AQ252" i="2"/>
  <c r="AK252" i="2"/>
  <c r="AW252" i="2"/>
  <c r="AR252" i="2"/>
  <c r="AY252" i="2"/>
  <c r="AJ252" i="2"/>
  <c r="AP252" i="2" s="1"/>
  <c r="AX252" i="2"/>
  <c r="AV252" i="2"/>
  <c r="AT252" i="2"/>
  <c r="AI252" i="2"/>
  <c r="AO252" i="2" s="1"/>
  <c r="AU252" i="2"/>
  <c r="AJ197" i="2"/>
  <c r="AP197" i="2" s="1"/>
  <c r="AK268" i="2"/>
  <c r="AR268" i="2"/>
  <c r="AV268" i="2"/>
  <c r="AI268" i="2"/>
  <c r="AO268" i="2" s="1"/>
  <c r="AU268" i="2"/>
  <c r="AQ268" i="2"/>
  <c r="AY269" i="2"/>
  <c r="AW242" i="2"/>
  <c r="AR242" i="2"/>
  <c r="AY242" i="2"/>
  <c r="AJ242" i="2"/>
  <c r="AP242" i="2" s="1"/>
  <c r="AU242" i="2"/>
  <c r="AI242" i="2"/>
  <c r="AO242" i="2" s="1"/>
  <c r="AV242" i="2"/>
  <c r="AQ242" i="2"/>
  <c r="AT242" i="2"/>
  <c r="AX242" i="2"/>
  <c r="AK242" i="2"/>
  <c r="AQ230" i="2"/>
  <c r="AI284" i="2"/>
  <c r="AO284" i="2" s="1"/>
  <c r="AR212" i="2"/>
  <c r="AI237" i="2"/>
  <c r="AO237" i="2" s="1"/>
  <c r="AR249" i="2"/>
  <c r="AK299" i="2"/>
  <c r="AR266" i="2"/>
  <c r="AN146" i="2"/>
  <c r="AU237" i="2"/>
  <c r="AT266" i="2"/>
  <c r="AY230" i="2"/>
  <c r="AW299" i="2"/>
  <c r="AU249" i="2"/>
  <c r="AT218" i="2"/>
  <c r="AV223" i="2"/>
  <c r="AJ218" i="2"/>
  <c r="AP218" i="2" s="1"/>
  <c r="AJ266" i="2"/>
  <c r="AP266" i="2" s="1"/>
  <c r="AI218" i="2"/>
  <c r="AO218" i="2" s="1"/>
  <c r="AV237" i="2"/>
  <c r="AT284" i="2"/>
  <c r="AU266" i="2"/>
  <c r="AU212" i="2"/>
  <c r="AY299" i="2"/>
  <c r="AW249" i="2"/>
  <c r="AU218" i="2"/>
  <c r="AW223" i="2"/>
  <c r="AK212" i="2"/>
  <c r="AK284" i="2"/>
  <c r="AK218" i="2"/>
  <c r="AW237" i="2"/>
  <c r="AU284" i="2"/>
  <c r="AW266" i="2"/>
  <c r="AU230" i="2"/>
  <c r="AV212" i="2"/>
  <c r="AX249" i="2"/>
  <c r="AW218" i="2"/>
  <c r="AX223" i="2"/>
  <c r="AQ218" i="2"/>
  <c r="AX237" i="2"/>
  <c r="AV284" i="2"/>
  <c r="AX266" i="2"/>
  <c r="AT230" i="2"/>
  <c r="AX212" i="2"/>
  <c r="AX218" i="2"/>
  <c r="AY223" i="2"/>
  <c r="AR230" i="2"/>
  <c r="AK230" i="2"/>
  <c r="AQ223" i="2"/>
  <c r="AI223" i="2"/>
  <c r="AO223" i="2" s="1"/>
  <c r="AN51" i="2"/>
  <c r="AY237" i="2"/>
  <c r="AX284" i="2"/>
  <c r="AY266" i="2"/>
  <c r="AV230" i="2"/>
  <c r="AY212" i="2"/>
  <c r="AT299" i="2"/>
  <c r="AY218" i="2"/>
  <c r="AJ249" i="2"/>
  <c r="AP249" i="2" s="1"/>
  <c r="AS117" i="2"/>
  <c r="AR223" i="2"/>
  <c r="AK237" i="2"/>
  <c r="AK249" i="2"/>
  <c r="AR299" i="2"/>
  <c r="AQ266" i="2"/>
  <c r="AY284" i="2"/>
  <c r="AW230" i="2"/>
  <c r="AW212" i="2"/>
  <c r="AV299" i="2"/>
  <c r="AT249" i="2"/>
  <c r="AJ237" i="2"/>
  <c r="AP237" i="2" s="1"/>
  <c r="AQ284" i="2"/>
  <c r="AK223" i="2"/>
  <c r="AI212" i="2"/>
  <c r="AO212" i="2" s="1"/>
  <c r="AQ237" i="2"/>
  <c r="AI249" i="2"/>
  <c r="AO249" i="2" s="1"/>
  <c r="AI299" i="2"/>
  <c r="AO299" i="2" s="1"/>
  <c r="AI266" i="2"/>
  <c r="AO266" i="2" s="1"/>
  <c r="AW284" i="2"/>
  <c r="AX230" i="2"/>
  <c r="AU299" i="2"/>
  <c r="AV249" i="2"/>
  <c r="AT223" i="2"/>
  <c r="AJ284" i="2"/>
  <c r="AP284" i="2" s="1"/>
  <c r="AQ233" i="2"/>
  <c r="AR207" i="2"/>
  <c r="AQ271" i="2"/>
  <c r="AQ272" i="2"/>
  <c r="AU272" i="2"/>
  <c r="AT277" i="2"/>
  <c r="AV233" i="2"/>
  <c r="AX207" i="2"/>
  <c r="AU271" i="2"/>
  <c r="AV236" i="2"/>
  <c r="AJ207" i="2"/>
  <c r="AP207" i="2" s="1"/>
  <c r="AI191" i="2"/>
  <c r="AO191" i="2" s="1"/>
  <c r="AR233" i="2"/>
  <c r="AQ207" i="2"/>
  <c r="AR271" i="2"/>
  <c r="AR272" i="2"/>
  <c r="AV272" i="2"/>
  <c r="AV277" i="2"/>
  <c r="AW233" i="2"/>
  <c r="AT191" i="2"/>
  <c r="AV271" i="2"/>
  <c r="AY236" i="2"/>
  <c r="AJ191" i="2"/>
  <c r="AP191" i="2" s="1"/>
  <c r="AR191" i="2"/>
  <c r="AK233" i="2"/>
  <c r="AI277" i="2"/>
  <c r="AO277" i="2" s="1"/>
  <c r="AK271" i="2"/>
  <c r="AK272" i="2"/>
  <c r="AW272" i="2"/>
  <c r="AW277" i="2"/>
  <c r="AX233" i="2"/>
  <c r="AU191" i="2"/>
  <c r="AX225" i="2"/>
  <c r="AW271" i="2"/>
  <c r="AW236" i="2"/>
  <c r="AJ271" i="2"/>
  <c r="AP271" i="2" s="1"/>
  <c r="AR277" i="2"/>
  <c r="AQ236" i="2"/>
  <c r="AX272" i="2"/>
  <c r="AX277" i="2"/>
  <c r="AT207" i="2"/>
  <c r="AV191" i="2"/>
  <c r="AU196" i="2"/>
  <c r="AX271" i="2"/>
  <c r="AJ272" i="2"/>
  <c r="AP272" i="2" s="1"/>
  <c r="AJ236" i="2"/>
  <c r="AP236" i="2" s="1"/>
  <c r="AK191" i="2"/>
  <c r="AK277" i="2"/>
  <c r="AI236" i="2"/>
  <c r="AO236" i="2" s="1"/>
  <c r="AY272" i="2"/>
  <c r="AY277" i="2"/>
  <c r="AU207" i="2"/>
  <c r="AW191" i="2"/>
  <c r="AY271" i="2"/>
  <c r="AQ277" i="2"/>
  <c r="AR236" i="2"/>
  <c r="AN117" i="2"/>
  <c r="AU233" i="2"/>
  <c r="AV207" i="2"/>
  <c r="AX191" i="2"/>
  <c r="AT236" i="2"/>
  <c r="AJ277" i="2"/>
  <c r="AP277" i="2" s="1"/>
  <c r="AI207" i="2"/>
  <c r="AO207" i="2" s="1"/>
  <c r="AK236" i="2"/>
  <c r="AT233" i="2"/>
  <c r="AW207" i="2"/>
  <c r="AY191" i="2"/>
  <c r="AU236" i="2"/>
  <c r="AJ192" i="2"/>
  <c r="AP192" i="2" s="1"/>
  <c r="AJ233" i="2"/>
  <c r="AP233" i="2" s="1"/>
  <c r="AI196" i="2"/>
  <c r="AO196" i="2" s="1"/>
  <c r="AI199" i="2"/>
  <c r="AO199" i="2" s="1"/>
  <c r="AQ197" i="2"/>
  <c r="AK244" i="2"/>
  <c r="AQ196" i="2"/>
  <c r="AI241" i="2"/>
  <c r="AO241" i="2" s="1"/>
  <c r="AR257" i="2"/>
  <c r="AT241" i="2"/>
  <c r="AX255" i="2"/>
  <c r="AU197" i="2"/>
  <c r="AX257" i="2"/>
  <c r="AV199" i="2"/>
  <c r="AX196" i="2"/>
  <c r="AJ257" i="2"/>
  <c r="AP257" i="2" s="1"/>
  <c r="AW257" i="2"/>
  <c r="AV196" i="2"/>
  <c r="AN301" i="2"/>
  <c r="AR199" i="2"/>
  <c r="AK197" i="2"/>
  <c r="AQ244" i="2"/>
  <c r="AK196" i="2"/>
  <c r="AR241" i="2"/>
  <c r="AQ225" i="2"/>
  <c r="AQ220" i="2"/>
  <c r="AV241" i="2"/>
  <c r="AT244" i="2"/>
  <c r="AY255" i="2"/>
  <c r="AT197" i="2"/>
  <c r="AU225" i="2"/>
  <c r="AU199" i="2"/>
  <c r="AY196" i="2"/>
  <c r="AT220" i="2"/>
  <c r="AJ244" i="2"/>
  <c r="AP244" i="2" s="1"/>
  <c r="AJ255" i="2"/>
  <c r="AP255" i="2" s="1"/>
  <c r="AI197" i="2"/>
  <c r="AO197" i="2" s="1"/>
  <c r="AI244" i="2"/>
  <c r="AO244" i="2" s="1"/>
  <c r="AQ241" i="2"/>
  <c r="AI225" i="2"/>
  <c r="AO225" i="2" s="1"/>
  <c r="AI220" i="2"/>
  <c r="AO220" i="2" s="1"/>
  <c r="AU241" i="2"/>
  <c r="AU244" i="2"/>
  <c r="AV197" i="2"/>
  <c r="AT225" i="2"/>
  <c r="AW199" i="2"/>
  <c r="AW196" i="2"/>
  <c r="AU220" i="2"/>
  <c r="AJ241" i="2"/>
  <c r="AP241" i="2" s="1"/>
  <c r="AJ268" i="2"/>
  <c r="AP268" i="2" s="1"/>
  <c r="AW255" i="2"/>
  <c r="AK199" i="2"/>
  <c r="AK255" i="2"/>
  <c r="AQ199" i="2"/>
  <c r="AR197" i="2"/>
  <c r="AR244" i="2"/>
  <c r="AQ255" i="2"/>
  <c r="AR225" i="2"/>
  <c r="AR220" i="2"/>
  <c r="AY241" i="2"/>
  <c r="AV244" i="2"/>
  <c r="AW197" i="2"/>
  <c r="AT257" i="2"/>
  <c r="AV225" i="2"/>
  <c r="AX199" i="2"/>
  <c r="AV220" i="2"/>
  <c r="AJ225" i="2"/>
  <c r="AP225" i="2" s="1"/>
  <c r="AK241" i="2"/>
  <c r="AI257" i="2"/>
  <c r="AO257" i="2" s="1"/>
  <c r="AJ199" i="2"/>
  <c r="AP199" i="2" s="1"/>
  <c r="AI255" i="2"/>
  <c r="AO255" i="2" s="1"/>
  <c r="AK225" i="2"/>
  <c r="AK220" i="2"/>
  <c r="AW241" i="2"/>
  <c r="AX244" i="2"/>
  <c r="AT255" i="2"/>
  <c r="AX197" i="2"/>
  <c r="AV257" i="2"/>
  <c r="AY225" i="2"/>
  <c r="AY199" i="2"/>
  <c r="AX220" i="2"/>
  <c r="AJ196" i="2"/>
  <c r="AP196" i="2" s="1"/>
  <c r="AJ220" i="2"/>
  <c r="AP220" i="2" s="1"/>
  <c r="AT199" i="2"/>
  <c r="AR255" i="2"/>
  <c r="AK257" i="2"/>
  <c r="AN72" i="2"/>
  <c r="AX241" i="2"/>
  <c r="AY244" i="2"/>
  <c r="AV255" i="2"/>
  <c r="AY197" i="2"/>
  <c r="AU257" i="2"/>
  <c r="AW225" i="2"/>
  <c r="AT196" i="2"/>
  <c r="AY220" i="2"/>
  <c r="AT293" i="2"/>
  <c r="AQ293" i="2"/>
  <c r="AK293" i="2"/>
  <c r="AR293" i="2"/>
  <c r="AI293" i="2"/>
  <c r="AO293" i="2" s="1"/>
  <c r="AY293" i="2"/>
  <c r="AJ293" i="2"/>
  <c r="AP293" i="2" s="1"/>
  <c r="AX293" i="2"/>
  <c r="AW293" i="2"/>
  <c r="AV293" i="2"/>
  <c r="AU293" i="2"/>
  <c r="AR248" i="2"/>
  <c r="AU248" i="2"/>
  <c r="AV292" i="2"/>
  <c r="AQ292" i="2"/>
  <c r="AY292" i="2"/>
  <c r="AY216" i="2"/>
  <c r="AQ216" i="2"/>
  <c r="AI216" i="2"/>
  <c r="AO216" i="2" s="1"/>
  <c r="AX216" i="2"/>
  <c r="AW216" i="2"/>
  <c r="AR216" i="2"/>
  <c r="AK216" i="2"/>
  <c r="AJ216" i="2"/>
  <c r="AP216" i="2" s="1"/>
  <c r="AV216" i="2"/>
  <c r="AT216" i="2"/>
  <c r="AU216" i="2"/>
  <c r="AV228" i="2"/>
  <c r="AJ228" i="2"/>
  <c r="AP228" i="2" s="1"/>
  <c r="AY228" i="2"/>
  <c r="AR228" i="2"/>
  <c r="AJ273" i="2"/>
  <c r="AP273" i="2" s="1"/>
  <c r="AT273" i="2"/>
  <c r="AV273" i="2"/>
  <c r="AR273" i="2"/>
  <c r="AI273" i="2"/>
  <c r="AO273" i="2" s="1"/>
  <c r="AX273" i="2"/>
  <c r="AQ273" i="2"/>
  <c r="AW273" i="2"/>
  <c r="AK273" i="2"/>
  <c r="AY273" i="2"/>
  <c r="AU273" i="2"/>
  <c r="AJ209" i="2"/>
  <c r="AP209" i="2" s="1"/>
  <c r="AJ261" i="2"/>
  <c r="AP261" i="2" s="1"/>
  <c r="AT208" i="2"/>
  <c r="AT289" i="2"/>
  <c r="AW269" i="2"/>
  <c r="AJ256" i="2"/>
  <c r="AP256" i="2" s="1"/>
  <c r="AJ288" i="2"/>
  <c r="AP288" i="2" s="1"/>
  <c r="AV192" i="2"/>
  <c r="AX268" i="2"/>
  <c r="AU288" i="2"/>
  <c r="AX261" i="2"/>
  <c r="AT209" i="2"/>
  <c r="AW192" i="2"/>
  <c r="AY268" i="2"/>
  <c r="AT288" i="2"/>
  <c r="AY261" i="2"/>
  <c r="AV209" i="2"/>
  <c r="AS72" i="2"/>
  <c r="AX192" i="2"/>
  <c r="AW268" i="2"/>
  <c r="AV288" i="2"/>
  <c r="AY209" i="2"/>
  <c r="AY192" i="2"/>
  <c r="AW288" i="2"/>
  <c r="AW209" i="2"/>
  <c r="AX288" i="2"/>
  <c r="AT261" i="2"/>
  <c r="AX209" i="2"/>
  <c r="AS301" i="2"/>
  <c r="AT268" i="2"/>
  <c r="AY288" i="2"/>
  <c r="AU261" i="2"/>
  <c r="AY240" i="2"/>
  <c r="AI240" i="2"/>
  <c r="AO240" i="2" s="1"/>
  <c r="AX240" i="2"/>
  <c r="AQ240" i="2"/>
  <c r="AW240" i="2"/>
  <c r="AV240" i="2"/>
  <c r="AT240" i="2"/>
  <c r="AK240" i="2"/>
  <c r="AJ240" i="2"/>
  <c r="AP240" i="2" s="1"/>
  <c r="AU240" i="2"/>
  <c r="AR240" i="2"/>
  <c r="AU251" i="2"/>
  <c r="AT251" i="2"/>
  <c r="AK251" i="2"/>
  <c r="AW251" i="2"/>
  <c r="AQ251" i="2"/>
  <c r="AY251" i="2"/>
  <c r="AI251" i="2"/>
  <c r="AO251" i="2" s="1"/>
  <c r="AX251" i="2"/>
  <c r="AV251" i="2"/>
  <c r="AR251" i="2"/>
  <c r="AJ251" i="2"/>
  <c r="AP251" i="2" s="1"/>
  <c r="AX296" i="2"/>
  <c r="AW296" i="2"/>
  <c r="AV296" i="2"/>
  <c r="AK296" i="2"/>
  <c r="AU296" i="2"/>
  <c r="AI296" i="2"/>
  <c r="AO296" i="2" s="1"/>
  <c r="AT296" i="2"/>
  <c r="AR296" i="2"/>
  <c r="AQ296" i="2"/>
  <c r="AY296" i="2"/>
  <c r="AJ296" i="2"/>
  <c r="AP296" i="2" s="1"/>
  <c r="AQ281" i="2"/>
  <c r="AK281" i="2"/>
  <c r="AI281" i="2"/>
  <c r="AO281" i="2" s="1"/>
  <c r="AX281" i="2"/>
  <c r="AW281" i="2"/>
  <c r="AY281" i="2"/>
  <c r="AJ281" i="2"/>
  <c r="AP281" i="2" s="1"/>
  <c r="AU281" i="2"/>
  <c r="AV281" i="2"/>
  <c r="AT281" i="2"/>
  <c r="AR281" i="2"/>
  <c r="AW201" i="2"/>
  <c r="AI201" i="2"/>
  <c r="AO201" i="2" s="1"/>
  <c r="AY201" i="2"/>
  <c r="AQ201" i="2"/>
  <c r="AK201" i="2"/>
  <c r="AV201" i="2"/>
  <c r="AT201" i="2"/>
  <c r="AU201" i="2"/>
  <c r="AX201" i="2"/>
  <c r="AR201" i="2"/>
  <c r="AJ201" i="2"/>
  <c r="AP201" i="2" s="1"/>
  <c r="AY193" i="2"/>
  <c r="AJ193" i="2"/>
  <c r="AP193" i="2" s="1"/>
  <c r="AV193" i="2"/>
  <c r="AK193" i="2"/>
  <c r="AR193" i="2"/>
  <c r="AT193" i="2"/>
  <c r="AU193" i="2"/>
  <c r="AI193" i="2"/>
  <c r="AO193" i="2" s="1"/>
  <c r="AQ193" i="2"/>
  <c r="AX193" i="2"/>
  <c r="AW193" i="2"/>
  <c r="AI263" i="2"/>
  <c r="AO263" i="2" s="1"/>
  <c r="AY263" i="2"/>
  <c r="AQ263" i="2"/>
  <c r="AK263" i="2"/>
  <c r="AX263" i="2"/>
  <c r="AW263" i="2"/>
  <c r="AJ263" i="2"/>
  <c r="AP263" i="2" s="1"/>
  <c r="AT263" i="2"/>
  <c r="AU263" i="2"/>
  <c r="AR263" i="2"/>
  <c r="AV263" i="2"/>
  <c r="AQ267" i="2"/>
  <c r="AR267" i="2"/>
  <c r="AU267" i="2"/>
  <c r="AI267" i="2"/>
  <c r="AO267" i="2" s="1"/>
  <c r="AY267" i="2"/>
  <c r="AX267" i="2"/>
  <c r="AW267" i="2"/>
  <c r="AV267" i="2"/>
  <c r="AJ267" i="2"/>
  <c r="AP267" i="2" s="1"/>
  <c r="AT267" i="2"/>
  <c r="AK267" i="2"/>
  <c r="AI253" i="2"/>
  <c r="AO253" i="2" s="1"/>
  <c r="AJ253" i="2"/>
  <c r="AP253" i="2" s="1"/>
  <c r="AY253" i="2"/>
  <c r="AQ253" i="2"/>
  <c r="AX253" i="2"/>
  <c r="AW253" i="2"/>
  <c r="AV253" i="2"/>
  <c r="AT253" i="2"/>
  <c r="AU253" i="2"/>
  <c r="AK253" i="2"/>
  <c r="AR253" i="2"/>
  <c r="AY200" i="2"/>
  <c r="AI200" i="2"/>
  <c r="AO200" i="2" s="1"/>
  <c r="AK200" i="2"/>
  <c r="AJ200" i="2"/>
  <c r="AP200" i="2" s="1"/>
  <c r="AX200" i="2"/>
  <c r="AR200" i="2"/>
  <c r="AW200" i="2"/>
  <c r="AV200" i="2"/>
  <c r="AT200" i="2"/>
  <c r="AU200" i="2"/>
  <c r="AQ200" i="2"/>
  <c r="AJ195" i="2"/>
  <c r="AP195" i="2" s="1"/>
  <c r="AT195" i="2"/>
  <c r="AQ195" i="2"/>
  <c r="AU195" i="2"/>
  <c r="AK195" i="2"/>
  <c r="AI195" i="2"/>
  <c r="AO195" i="2" s="1"/>
  <c r="AY195" i="2"/>
  <c r="AX195" i="2"/>
  <c r="AV195" i="2"/>
  <c r="AR195" i="2"/>
  <c r="AW195" i="2"/>
  <c r="AV285" i="2"/>
  <c r="AJ285" i="2"/>
  <c r="AP285" i="2" s="1"/>
  <c r="AU285" i="2"/>
  <c r="AT285" i="2"/>
  <c r="AQ285" i="2"/>
  <c r="AX285" i="2"/>
  <c r="AK285" i="2"/>
  <c r="AI285" i="2"/>
  <c r="AO285" i="2" s="1"/>
  <c r="AY285" i="2"/>
  <c r="AR285" i="2"/>
  <c r="AW285" i="2"/>
  <c r="AU264" i="2"/>
  <c r="AQ264" i="2"/>
  <c r="AY264" i="2"/>
  <c r="AK264" i="2"/>
  <c r="AX264" i="2"/>
  <c r="AR264" i="2"/>
  <c r="AW264" i="2"/>
  <c r="AI264" i="2"/>
  <c r="AO264" i="2" s="1"/>
  <c r="AJ264" i="2"/>
  <c r="AP264" i="2" s="1"/>
  <c r="AT264" i="2"/>
  <c r="AV264" i="2"/>
  <c r="AJ243" i="2"/>
  <c r="AP243" i="2" s="1"/>
  <c r="AW243" i="2"/>
  <c r="AV243" i="2"/>
  <c r="AK243" i="2"/>
  <c r="AR243" i="2"/>
  <c r="AU243" i="2"/>
  <c r="AT243" i="2"/>
  <c r="AQ243" i="2"/>
  <c r="AI243" i="2"/>
  <c r="AO243" i="2" s="1"/>
  <c r="AX243" i="2"/>
  <c r="AY243" i="2"/>
  <c r="AV221" i="2"/>
  <c r="AI221" i="2"/>
  <c r="AO221" i="2" s="1"/>
  <c r="AT221" i="2"/>
  <c r="AQ221" i="2"/>
  <c r="AK221" i="2"/>
  <c r="AU221" i="2"/>
  <c r="AY221" i="2"/>
  <c r="AJ221" i="2"/>
  <c r="AP221" i="2" s="1"/>
  <c r="AW221" i="2"/>
  <c r="AR221" i="2"/>
  <c r="AX221" i="2"/>
  <c r="AY213" i="2"/>
  <c r="AK213" i="2"/>
  <c r="AX213" i="2"/>
  <c r="AW213" i="2"/>
  <c r="AV213" i="2"/>
  <c r="AI213" i="2"/>
  <c r="AO213" i="2" s="1"/>
  <c r="AJ213" i="2"/>
  <c r="AP213" i="2" s="1"/>
  <c r="AT213" i="2"/>
  <c r="AU213" i="2"/>
  <c r="AR213" i="2"/>
  <c r="AQ213" i="2"/>
  <c r="AX229" i="2"/>
  <c r="AW229" i="2"/>
  <c r="AV229" i="2"/>
  <c r="AR229" i="2"/>
  <c r="AT229" i="2"/>
  <c r="AI229" i="2"/>
  <c r="AO229" i="2" s="1"/>
  <c r="AU229" i="2"/>
  <c r="AQ229" i="2"/>
  <c r="AJ229" i="2"/>
  <c r="AP229" i="2" s="1"/>
  <c r="AK229" i="2"/>
  <c r="AY229" i="2"/>
  <c r="AV259" i="2"/>
  <c r="AI259" i="2"/>
  <c r="AO259" i="2" s="1"/>
  <c r="AJ259" i="2"/>
  <c r="AP259" i="2" s="1"/>
  <c r="AU259" i="2"/>
  <c r="AK259" i="2"/>
  <c r="AT259" i="2"/>
  <c r="AX259" i="2"/>
  <c r="AR259" i="2"/>
  <c r="AY259" i="2"/>
  <c r="AW259" i="2"/>
  <c r="AQ259" i="2"/>
  <c r="AU265" i="2"/>
  <c r="AV265" i="2"/>
  <c r="AW265" i="2"/>
  <c r="AJ265" i="2"/>
  <c r="AP265" i="2" s="1"/>
  <c r="AT265" i="2"/>
  <c r="AR265" i="2"/>
  <c r="AI265" i="2"/>
  <c r="AO265" i="2" s="1"/>
  <c r="AQ265" i="2"/>
  <c r="AX265" i="2"/>
  <c r="AK265" i="2"/>
  <c r="AY265" i="2"/>
  <c r="AY224" i="2"/>
  <c r="AQ224" i="2"/>
  <c r="AX224" i="2"/>
  <c r="AK224" i="2"/>
  <c r="AJ224" i="2"/>
  <c r="AP224" i="2" s="1"/>
  <c r="AW224" i="2"/>
  <c r="AV224" i="2"/>
  <c r="AT224" i="2"/>
  <c r="AU224" i="2"/>
  <c r="AI224" i="2"/>
  <c r="AO224" i="2" s="1"/>
  <c r="AR224" i="2"/>
  <c r="AX245" i="2"/>
  <c r="AW245" i="2"/>
  <c r="AK245" i="2"/>
  <c r="AV245" i="2"/>
  <c r="AR245" i="2"/>
  <c r="AU245" i="2"/>
  <c r="AI245" i="2"/>
  <c r="AO245" i="2" s="1"/>
  <c r="AJ245" i="2"/>
  <c r="AP245" i="2" s="1"/>
  <c r="AT245" i="2"/>
  <c r="AQ245" i="2"/>
  <c r="AY245" i="2"/>
  <c r="AX297" i="2"/>
  <c r="AQ297" i="2"/>
  <c r="AW297" i="2"/>
  <c r="AK297" i="2"/>
  <c r="AY297" i="2"/>
  <c r="AI297" i="2"/>
  <c r="AO297" i="2" s="1"/>
  <c r="AJ297" i="2"/>
  <c r="AP297" i="2" s="1"/>
  <c r="AV297" i="2"/>
  <c r="AU297" i="2"/>
  <c r="AR297" i="2"/>
  <c r="AT297" i="2"/>
  <c r="AJ247" i="2"/>
  <c r="AP247" i="2" s="1"/>
  <c r="AY247" i="2"/>
  <c r="AK247" i="2"/>
  <c r="AX247" i="2"/>
  <c r="AW247" i="2"/>
  <c r="AU247" i="2"/>
  <c r="AV247" i="2"/>
  <c r="AT247" i="2"/>
  <c r="AR247" i="2"/>
  <c r="AI247" i="2"/>
  <c r="AO247" i="2" s="1"/>
  <c r="AQ247" i="2"/>
  <c r="AK269" i="2"/>
  <c r="AI228" i="2"/>
  <c r="AO228" i="2" s="1"/>
  <c r="AR292" i="2"/>
  <c r="AX228" i="2"/>
  <c r="AX292" i="2"/>
  <c r="AV289" i="2"/>
  <c r="AU256" i="2"/>
  <c r="AX269" i="2"/>
  <c r="AV208" i="2"/>
  <c r="AJ292" i="2"/>
  <c r="AP292" i="2" s="1"/>
  <c r="AK228" i="2"/>
  <c r="AQ208" i="2"/>
  <c r="AI289" i="2"/>
  <c r="AO289" i="2" s="1"/>
  <c r="AQ256" i="2"/>
  <c r="AW228" i="2"/>
  <c r="AW292" i="2"/>
  <c r="AY289" i="2"/>
  <c r="AW256" i="2"/>
  <c r="AT248" i="2"/>
  <c r="AX208" i="2"/>
  <c r="AJ208" i="2"/>
  <c r="AP208" i="2" s="1"/>
  <c r="AQ248" i="2"/>
  <c r="AI208" i="2"/>
  <c r="AO208" i="2" s="1"/>
  <c r="AQ289" i="2"/>
  <c r="AI256" i="2"/>
  <c r="AO256" i="2" s="1"/>
  <c r="AW289" i="2"/>
  <c r="AX256" i="2"/>
  <c r="AV248" i="2"/>
  <c r="AY208" i="2"/>
  <c r="AJ289" i="2"/>
  <c r="AP289" i="2" s="1"/>
  <c r="AI248" i="2"/>
  <c r="AO248" i="2" s="1"/>
  <c r="AR208" i="2"/>
  <c r="AR289" i="2"/>
  <c r="AR256" i="2"/>
  <c r="AX289" i="2"/>
  <c r="AY256" i="2"/>
  <c r="AW248" i="2"/>
  <c r="AT269" i="2"/>
  <c r="AJ248" i="2"/>
  <c r="AP248" i="2" s="1"/>
  <c r="AK208" i="2"/>
  <c r="AK289" i="2"/>
  <c r="AK256" i="2"/>
  <c r="AT228" i="2"/>
  <c r="AT292" i="2"/>
  <c r="AX248" i="2"/>
  <c r="AU269" i="2"/>
  <c r="AI269" i="2"/>
  <c r="AO269" i="2" s="1"/>
  <c r="AK248" i="2"/>
  <c r="AK292" i="2"/>
  <c r="AU228" i="2"/>
  <c r="AU292" i="2"/>
  <c r="AY248" i="2"/>
  <c r="AV269" i="2"/>
  <c r="AU208" i="2"/>
  <c r="AJ269" i="2"/>
  <c r="AP269" i="2" s="1"/>
  <c r="AQ269" i="2"/>
  <c r="AR269" i="2"/>
  <c r="AQ228" i="2"/>
  <c r="AI292" i="2"/>
  <c r="AO292" i="2" s="1"/>
  <c r="AT256" i="2"/>
  <c r="AJ308" i="2"/>
  <c r="AP308" i="2" s="1"/>
  <c r="AW308" i="2"/>
  <c r="AY308" i="2"/>
  <c r="AX308" i="2"/>
  <c r="AV308" i="2"/>
  <c r="AU308" i="2"/>
  <c r="AT308" i="2"/>
  <c r="AS46" i="2"/>
  <c r="X17" i="3"/>
  <c r="Y17" i="3"/>
  <c r="Y20" i="3"/>
  <c r="X20" i="3"/>
  <c r="AN46" i="2"/>
  <c r="AN47" i="2"/>
  <c r="AS47" i="2"/>
  <c r="AI308" i="2"/>
  <c r="AO308" i="2" s="1"/>
  <c r="AK308" i="2"/>
  <c r="AR308" i="2"/>
  <c r="AQ308" i="2"/>
  <c r="AS307" i="2"/>
  <c r="AN307" i="2"/>
  <c r="K29" i="4"/>
  <c r="AO306" i="2"/>
  <c r="AS306" i="2" s="1"/>
  <c r="AN306" i="2"/>
  <c r="AS294" i="2"/>
  <c r="AN215" i="2"/>
  <c r="AN294" i="2"/>
  <c r="AS215" i="2"/>
  <c r="F311" i="2"/>
  <c r="AT300" i="2" l="1"/>
  <c r="AJ300" i="2"/>
  <c r="AP300" i="2" s="1"/>
  <c r="AI300" i="2"/>
  <c r="AO300" i="2" s="1"/>
  <c r="AX300" i="2"/>
  <c r="AU300" i="2"/>
  <c r="AR300" i="2"/>
  <c r="AQ300" i="2"/>
  <c r="AY300" i="2"/>
  <c r="AW300" i="2"/>
  <c r="AK300" i="2"/>
  <c r="AV300" i="2"/>
  <c r="M311" i="2"/>
  <c r="N311" i="2"/>
  <c r="AD310" i="2"/>
  <c r="AE310" i="2" s="1"/>
  <c r="AG310" i="2" s="1"/>
  <c r="AH310" i="2" s="1"/>
  <c r="F25" i="4"/>
  <c r="AS232" i="2"/>
  <c r="F24" i="4"/>
  <c r="G24" i="4" s="1"/>
  <c r="F22" i="4"/>
  <c r="G22" i="4" s="1"/>
  <c r="F11" i="4"/>
  <c r="G11" i="4" s="1"/>
  <c r="AN194" i="2"/>
  <c r="AN232" i="2"/>
  <c r="AS194" i="2"/>
  <c r="D20" i="4"/>
  <c r="E20" i="4" s="1"/>
  <c r="F20" i="4"/>
  <c r="G20" i="4" s="1"/>
  <c r="D25" i="4"/>
  <c r="D27" i="4"/>
  <c r="AO231" i="2"/>
  <c r="D28" i="4"/>
  <c r="E28" i="4" s="1"/>
  <c r="AN274" i="2"/>
  <c r="AS290" i="2"/>
  <c r="AN217" i="2"/>
  <c r="AS287" i="2"/>
  <c r="AS276" i="2"/>
  <c r="AS258" i="2"/>
  <c r="AS217" i="2"/>
  <c r="AN258" i="2"/>
  <c r="AS274" i="2"/>
  <c r="AN282" i="2"/>
  <c r="AN250" i="2"/>
  <c r="AN276" i="2"/>
  <c r="AS299" i="2"/>
  <c r="AS214" i="2"/>
  <c r="AN239" i="2"/>
  <c r="AN290" i="2"/>
  <c r="AN205" i="2"/>
  <c r="AS239" i="2"/>
  <c r="AS205" i="2"/>
  <c r="AS254" i="2"/>
  <c r="AS282" i="2"/>
  <c r="AS250" i="2"/>
  <c r="AS234" i="2"/>
  <c r="AN287" i="2"/>
  <c r="AN214" i="2"/>
  <c r="AS266" i="2"/>
  <c r="AS291" i="2"/>
  <c r="AS203" i="2"/>
  <c r="AS222" i="2"/>
  <c r="AS262" i="2"/>
  <c r="AS209" i="2"/>
  <c r="AS270" i="2"/>
  <c r="AS279" i="2"/>
  <c r="AN234" i="2"/>
  <c r="AN271" i="2"/>
  <c r="AN275" i="2"/>
  <c r="AS275" i="2"/>
  <c r="AN279" i="2"/>
  <c r="AN291" i="2"/>
  <c r="AN262" i="2"/>
  <c r="AS235" i="2"/>
  <c r="AS230" i="2"/>
  <c r="AN231" i="2"/>
  <c r="D24" i="4" s="1"/>
  <c r="E24" i="4" s="1"/>
  <c r="AN260" i="2"/>
  <c r="AN246" i="2"/>
  <c r="AN268" i="2"/>
  <c r="AN254" i="2"/>
  <c r="AN235" i="2"/>
  <c r="AS246" i="2"/>
  <c r="AN222" i="2"/>
  <c r="AN245" i="2"/>
  <c r="AS242" i="2"/>
  <c r="AS295" i="2"/>
  <c r="AN270" i="2"/>
  <c r="AS298" i="2"/>
  <c r="AS280" i="2"/>
  <c r="AS223" i="2"/>
  <c r="AS288" i="2"/>
  <c r="AN230" i="2"/>
  <c r="AS249" i="2"/>
  <c r="AN206" i="2"/>
  <c r="AS226" i="2"/>
  <c r="AN203" i="2"/>
  <c r="AS218" i="2"/>
  <c r="AS238" i="2"/>
  <c r="AS202" i="2"/>
  <c r="AS286" i="2"/>
  <c r="AS283" i="2"/>
  <c r="AS210" i="2"/>
  <c r="AS260" i="2"/>
  <c r="AN226" i="2"/>
  <c r="AN202" i="2"/>
  <c r="AS212" i="2"/>
  <c r="AS206" i="2"/>
  <c r="AN286" i="2"/>
  <c r="AN295" i="2"/>
  <c r="AN283" i="2"/>
  <c r="AN242" i="2"/>
  <c r="AN209" i="2"/>
  <c r="AN218" i="2"/>
  <c r="AN299" i="2"/>
  <c r="AS252" i="2"/>
  <c r="AS219" i="2"/>
  <c r="AS204" i="2"/>
  <c r="AN238" i="2"/>
  <c r="AS198" i="2"/>
  <c r="AN298" i="2"/>
  <c r="AS278" i="2"/>
  <c r="AS227" i="2"/>
  <c r="AS211" i="2"/>
  <c r="AS284" i="2"/>
  <c r="AN212" i="2"/>
  <c r="AN280" i="2"/>
  <c r="AN210" i="2"/>
  <c r="AS220" i="2"/>
  <c r="AS271" i="2"/>
  <c r="AN204" i="2"/>
  <c r="AN227" i="2"/>
  <c r="AS261" i="2"/>
  <c r="AS207" i="2"/>
  <c r="AS237" i="2"/>
  <c r="AN278" i="2"/>
  <c r="AN211" i="2"/>
  <c r="AS192" i="2"/>
  <c r="AN252" i="2"/>
  <c r="AN266" i="2"/>
  <c r="AS197" i="2"/>
  <c r="AN219" i="2"/>
  <c r="AN253" i="2"/>
  <c r="AN284" i="2"/>
  <c r="AN192" i="2"/>
  <c r="AN237" i="2"/>
  <c r="AS224" i="2"/>
  <c r="AS268" i="2"/>
  <c r="AS277" i="2"/>
  <c r="AN249" i="2"/>
  <c r="AN272" i="2"/>
  <c r="AN213" i="2"/>
  <c r="AS272" i="2"/>
  <c r="AN198" i="2"/>
  <c r="AS296" i="2"/>
  <c r="AN223" i="2"/>
  <c r="AN241" i="2"/>
  <c r="AS199" i="2"/>
  <c r="AN277" i="2"/>
  <c r="AN247" i="2"/>
  <c r="AN224" i="2"/>
  <c r="AS259" i="2"/>
  <c r="AN216" i="2"/>
  <c r="AS196" i="2"/>
  <c r="AS191" i="2"/>
  <c r="AN297" i="2"/>
  <c r="AS247" i="2"/>
  <c r="AS245" i="2"/>
  <c r="AS233" i="2"/>
  <c r="AN199" i="2"/>
  <c r="AS273" i="2"/>
  <c r="AS248" i="2"/>
  <c r="AN255" i="2"/>
  <c r="AS236" i="2"/>
  <c r="AN244" i="2"/>
  <c r="AN191" i="2"/>
  <c r="AN248" i="2"/>
  <c r="AS216" i="2"/>
  <c r="AS255" i="2"/>
  <c r="AN197" i="2"/>
  <c r="AN207" i="2"/>
  <c r="AN196" i="2"/>
  <c r="AS208" i="2"/>
  <c r="AS265" i="2"/>
  <c r="AS221" i="2"/>
  <c r="AS240" i="2"/>
  <c r="AN292" i="2"/>
  <c r="AN293" i="2"/>
  <c r="AS244" i="2"/>
  <c r="AS225" i="2"/>
  <c r="AS257" i="2"/>
  <c r="AS241" i="2"/>
  <c r="AS285" i="2"/>
  <c r="AS200" i="2"/>
  <c r="AS253" i="2"/>
  <c r="AS267" i="2"/>
  <c r="AS263" i="2"/>
  <c r="AN201" i="2"/>
  <c r="AN195" i="2"/>
  <c r="AN288" i="2"/>
  <c r="AN259" i="2"/>
  <c r="AS213" i="2"/>
  <c r="AS243" i="2"/>
  <c r="AN264" i="2"/>
  <c r="AS201" i="2"/>
  <c r="AN200" i="2"/>
  <c r="AN236" i="2"/>
  <c r="AN233" i="2"/>
  <c r="AN263" i="2"/>
  <c r="AN257" i="2"/>
  <c r="AN256" i="2"/>
  <c r="AS256" i="2"/>
  <c r="AN228" i="2"/>
  <c r="AS292" i="2"/>
  <c r="AN265" i="2"/>
  <c r="AS229" i="2"/>
  <c r="AN285" i="2"/>
  <c r="AS195" i="2"/>
  <c r="AN267" i="2"/>
  <c r="AS193" i="2"/>
  <c r="AS281" i="2"/>
  <c r="AS251" i="2"/>
  <c r="AN240" i="2"/>
  <c r="AN269" i="2"/>
  <c r="AS293" i="2"/>
  <c r="AN251" i="2"/>
  <c r="AN229" i="2"/>
  <c r="AN208" i="2"/>
  <c r="AN220" i="2"/>
  <c r="AN261" i="2"/>
  <c r="AS289" i="2"/>
  <c r="AS297" i="2"/>
  <c r="AS264" i="2"/>
  <c r="AN289" i="2"/>
  <c r="AS228" i="2"/>
  <c r="AN296" i="2"/>
  <c r="AN221" i="2"/>
  <c r="AN225" i="2"/>
  <c r="AN273" i="2"/>
  <c r="AN193" i="2"/>
  <c r="AS269" i="2"/>
  <c r="AN243" i="2"/>
  <c r="AN281" i="2"/>
  <c r="AJ309" i="2"/>
  <c r="AP309" i="2" s="1"/>
  <c r="AR309" i="2"/>
  <c r="AY309" i="2"/>
  <c r="AX309" i="2"/>
  <c r="AW309" i="2"/>
  <c r="AV309" i="2"/>
  <c r="AU309" i="2"/>
  <c r="AT309" i="2"/>
  <c r="AN308" i="2"/>
  <c r="AS308" i="2"/>
  <c r="AK309" i="2"/>
  <c r="AI309" i="2"/>
  <c r="AO309" i="2" s="1"/>
  <c r="AQ309" i="2"/>
  <c r="F312" i="2"/>
  <c r="AN300" i="2" l="1"/>
  <c r="AS300" i="2"/>
  <c r="M312" i="2"/>
  <c r="N312" i="2"/>
  <c r="AD311" i="2"/>
  <c r="AE311" i="2" s="1"/>
  <c r="AG311" i="2" s="1"/>
  <c r="AH311" i="2" s="1"/>
  <c r="D7" i="4"/>
  <c r="AN158" i="2"/>
  <c r="F26" i="4" s="1"/>
  <c r="AS231" i="2"/>
  <c r="AS158" i="2"/>
  <c r="D26" i="4"/>
  <c r="F28" i="4"/>
  <c r="G28" i="4" s="1"/>
  <c r="F7" i="4"/>
  <c r="AJ310" i="2"/>
  <c r="AP310" i="2" s="1"/>
  <c r="AY310" i="2"/>
  <c r="AX310" i="2"/>
  <c r="AW310" i="2"/>
  <c r="AU310" i="2"/>
  <c r="AV310" i="2"/>
  <c r="AT310" i="2"/>
  <c r="AS309" i="2"/>
  <c r="AQ310" i="2"/>
  <c r="AR310" i="2"/>
  <c r="AI310" i="2"/>
  <c r="AO310" i="2" s="1"/>
  <c r="AK310" i="2"/>
  <c r="AN309" i="2"/>
  <c r="F313" i="2"/>
  <c r="M313" i="2" l="1"/>
  <c r="N313" i="2"/>
  <c r="AD312" i="2"/>
  <c r="AE312" i="2" s="1"/>
  <c r="AG312" i="2" s="1"/>
  <c r="AH312" i="2" s="1"/>
  <c r="AJ311" i="2"/>
  <c r="AP311" i="2" s="1"/>
  <c r="AY311" i="2"/>
  <c r="AX311" i="2"/>
  <c r="AW311" i="2"/>
  <c r="AV311" i="2"/>
  <c r="AU311" i="2"/>
  <c r="AT311" i="2"/>
  <c r="AK311" i="2"/>
  <c r="AN310" i="2"/>
  <c r="AQ311" i="2"/>
  <c r="AR311" i="2"/>
  <c r="AI311" i="2"/>
  <c r="AO311" i="2" s="1"/>
  <c r="AS310" i="2"/>
  <c r="F314" i="2"/>
  <c r="M314" i="2" l="1"/>
  <c r="N314" i="2"/>
  <c r="AD313" i="2"/>
  <c r="AE313" i="2" s="1"/>
  <c r="AG313" i="2" s="1"/>
  <c r="AH313" i="2" s="1"/>
  <c r="AJ312" i="2"/>
  <c r="AP312" i="2" s="1"/>
  <c r="AQ312" i="2"/>
  <c r="AY312" i="2"/>
  <c r="AX312" i="2"/>
  <c r="AW312" i="2"/>
  <c r="AV312" i="2"/>
  <c r="AU312" i="2"/>
  <c r="AT312" i="2"/>
  <c r="AS311" i="2"/>
  <c r="AN311" i="2"/>
  <c r="AI312" i="2"/>
  <c r="AO312" i="2" s="1"/>
  <c r="AK312" i="2"/>
  <c r="AR312" i="2"/>
  <c r="F315" i="2"/>
  <c r="AD314" i="2" l="1"/>
  <c r="AE314" i="2" s="1"/>
  <c r="AG314" i="2" s="1"/>
  <c r="AH314" i="2" s="1"/>
  <c r="M315" i="2"/>
  <c r="N315" i="2"/>
  <c r="AJ313" i="2"/>
  <c r="AP313" i="2" s="1"/>
  <c r="AK313" i="2"/>
  <c r="AX313" i="2"/>
  <c r="AW313" i="2"/>
  <c r="AY313" i="2"/>
  <c r="AU313" i="2"/>
  <c r="AV313" i="2"/>
  <c r="AT313" i="2"/>
  <c r="AI313" i="2"/>
  <c r="AO313" i="2" s="1"/>
  <c r="AQ313" i="2"/>
  <c r="AR313" i="2"/>
  <c r="AS312" i="2"/>
  <c r="AN312" i="2"/>
  <c r="F316" i="2"/>
  <c r="AD315" i="2" l="1"/>
  <c r="AE315" i="2" s="1"/>
  <c r="AG315" i="2" s="1"/>
  <c r="AH315" i="2" s="1"/>
  <c r="M316" i="2"/>
  <c r="N316" i="2"/>
  <c r="AJ314" i="2"/>
  <c r="AP314" i="2" s="1"/>
  <c r="AR314" i="2"/>
  <c r="AY314" i="2"/>
  <c r="AX314" i="2"/>
  <c r="AW314" i="2"/>
  <c r="AU314" i="2"/>
  <c r="AV314" i="2"/>
  <c r="AT314" i="2"/>
  <c r="AS313" i="2"/>
  <c r="AN313" i="2"/>
  <c r="AK314" i="2"/>
  <c r="AI314" i="2"/>
  <c r="AO314" i="2" s="1"/>
  <c r="AQ314" i="2"/>
  <c r="F317" i="2"/>
  <c r="M317" i="2" l="1"/>
  <c r="N317" i="2"/>
  <c r="AD316" i="2"/>
  <c r="AE316" i="2" s="1"/>
  <c r="AG316" i="2" s="1"/>
  <c r="AH316" i="2" s="1"/>
  <c r="AJ315" i="2"/>
  <c r="AP315" i="2" s="1"/>
  <c r="AK315" i="2"/>
  <c r="AY315" i="2"/>
  <c r="AX315" i="2"/>
  <c r="AW315" i="2"/>
  <c r="AU315" i="2"/>
  <c r="AV315" i="2"/>
  <c r="AT315" i="2"/>
  <c r="AN314" i="2"/>
  <c r="AS314" i="2"/>
  <c r="AQ315" i="2"/>
  <c r="AR315" i="2"/>
  <c r="AI315" i="2"/>
  <c r="AO315" i="2" s="1"/>
  <c r="F318" i="2"/>
  <c r="AD317" i="2" l="1"/>
  <c r="AE317" i="2" s="1"/>
  <c r="AG317" i="2" s="1"/>
  <c r="AH317" i="2" s="1"/>
  <c r="M318" i="2"/>
  <c r="N318" i="2"/>
  <c r="AJ316" i="2"/>
  <c r="AP316" i="2" s="1"/>
  <c r="AR316" i="2"/>
  <c r="AW316" i="2"/>
  <c r="AY316" i="2"/>
  <c r="AX316" i="2"/>
  <c r="AV316" i="2"/>
  <c r="AU316" i="2"/>
  <c r="AT316" i="2"/>
  <c r="AS315" i="2"/>
  <c r="AK316" i="2"/>
  <c r="AN315" i="2"/>
  <c r="AQ316" i="2"/>
  <c r="AI316" i="2"/>
  <c r="AO316" i="2" s="1"/>
  <c r="F319" i="2"/>
  <c r="F320" i="2"/>
  <c r="M320" i="2" l="1"/>
  <c r="H29" i="4" s="1"/>
  <c r="N320" i="2"/>
  <c r="M319" i="2"/>
  <c r="N319" i="2"/>
  <c r="AD318" i="2"/>
  <c r="AE318" i="2" s="1"/>
  <c r="AG318" i="2" s="1"/>
  <c r="AH318" i="2" s="1"/>
  <c r="AJ317" i="2"/>
  <c r="AP317" i="2" s="1"/>
  <c r="AR317" i="2"/>
  <c r="AY317" i="2"/>
  <c r="AX317" i="2"/>
  <c r="AW317" i="2"/>
  <c r="AV317" i="2"/>
  <c r="AU317" i="2"/>
  <c r="AT317" i="2"/>
  <c r="AS316" i="2"/>
  <c r="AQ317" i="2"/>
  <c r="AK317" i="2"/>
  <c r="AI317" i="2"/>
  <c r="AO317" i="2" s="1"/>
  <c r="AN316" i="2"/>
  <c r="H6" i="4"/>
  <c r="I6" i="4" s="1"/>
  <c r="AD319" i="2" l="1"/>
  <c r="AE319" i="2" s="1"/>
  <c r="AG319" i="2" s="1"/>
  <c r="AH319" i="2" s="1"/>
  <c r="AD320" i="2"/>
  <c r="AE320" i="2" s="1"/>
  <c r="AG320" i="2" s="1"/>
  <c r="AH320" i="2" s="1"/>
  <c r="H17" i="4"/>
  <c r="I17" i="4" s="1"/>
  <c r="I19" i="4" s="1"/>
  <c r="H19" i="4"/>
  <c r="H14" i="4"/>
  <c r="I14" i="4" s="1"/>
  <c r="H16" i="4"/>
  <c r="AJ318" i="2"/>
  <c r="AP318" i="2" s="1"/>
  <c r="AQ318" i="2"/>
  <c r="AY318" i="2"/>
  <c r="AX318" i="2"/>
  <c r="AW318" i="2"/>
  <c r="AU318" i="2"/>
  <c r="AT318" i="2"/>
  <c r="AV318" i="2"/>
  <c r="AN317" i="2"/>
  <c r="AS317" i="2"/>
  <c r="AK318" i="2"/>
  <c r="AR318" i="2"/>
  <c r="AI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J320" i="2"/>
  <c r="AP320" i="2" s="1"/>
  <c r="AJ319" i="2"/>
  <c r="AP319" i="2" s="1"/>
  <c r="AY320" i="2"/>
  <c r="AX320" i="2"/>
  <c r="AW320" i="2"/>
  <c r="AV320" i="2"/>
  <c r="AT320" i="2"/>
  <c r="AU320" i="2"/>
  <c r="AI319" i="2"/>
  <c r="AO319" i="2" s="1"/>
  <c r="AY319" i="2"/>
  <c r="AX319" i="2"/>
  <c r="AW319" i="2"/>
  <c r="AT319" i="2"/>
  <c r="AV319" i="2"/>
  <c r="AU319" i="2"/>
  <c r="AK319" i="2"/>
  <c r="AR319" i="2"/>
  <c r="AQ319" i="2"/>
  <c r="AO318" i="2"/>
  <c r="AS318" i="2" s="1"/>
  <c r="AN318" i="2"/>
  <c r="AQ320" i="2"/>
  <c r="AK320" i="2"/>
  <c r="AR320" i="2"/>
  <c r="AI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O320" i="2"/>
  <c r="AS320" i="2" s="1"/>
  <c r="H28" i="4"/>
  <c r="H24" i="4"/>
  <c r="I24" i="4" s="1"/>
  <c r="AS319" i="2"/>
  <c r="AN319" i="2"/>
  <c r="AN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H8" i="2" l="1"/>
  <c r="AS8" i="2" s="1"/>
  <c r="AN8" i="2" l="1"/>
</calcChain>
</file>

<file path=xl/sharedStrings.xml><?xml version="1.0" encoding="utf-8"?>
<sst xmlns="http://schemas.openxmlformats.org/spreadsheetml/2006/main" count="1613" uniqueCount="831">
  <si>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</si>
  <si>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</si>
  <si>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</si>
  <si>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</si>
  <si>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</si>
  <si>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</si>
  <si>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</si>
  <si>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</si>
  <si>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</si>
  <si>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</si>
  <si>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</si>
  <si>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</si>
  <si>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</si>
  <si>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</si>
  <si>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</si>
  <si>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</si>
  <si>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</si>
  <si>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</si>
  <si>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</si>
  <si>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</si>
  <si>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</si>
  <si>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</si>
  <si>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</si>
  <si>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</si>
  <si>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</si>
  <si>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</si>
  <si>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</si>
  <si>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</si>
  <si>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</si>
  <si>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</si>
  <si>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</si>
  <si>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</si>
  <si>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</si>
  <si>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</si>
  <si>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</si>
  <si>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</si>
  <si>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</si>
  <si>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</si>
  <si>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</si>
  <si>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</si>
  <si>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</si>
  <si>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</si>
  <si>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</si>
  <si>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</si>
  <si>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</si>
  <si>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</si>
  <si>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</si>
  <si>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</si>
  <si>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</si>
  <si>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</si>
  <si>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</si>
  <si>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</si>
  <si>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</si>
  <si>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</si>
  <si>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</si>
  <si>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</si>
  <si>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</si>
  <si>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</si>
  <si>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</si>
  <si>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</si>
  <si>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</si>
  <si>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</si>
  <si>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</si>
  <si>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</si>
  <si>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</si>
  <si>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</si>
  <si>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</si>
  <si>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</si>
  <si>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</si>
  <si>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</si>
  <si>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</si>
  <si>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</si>
  <si>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</si>
  <si>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</si>
  <si>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</si>
  <si>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</si>
  <si>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</si>
  <si>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</si>
  <si>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</si>
  <si>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</si>
  <si>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</si>
  <si>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</si>
  <si>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</si>
  <si>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</si>
  <si>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</si>
  <si>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</si>
  <si>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</si>
  <si>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</si>
  <si>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</si>
  <si>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</si>
  <si>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</si>
  <si>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</si>
  <si>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</si>
  <si>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</si>
  <si>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</si>
  <si>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</si>
  <si>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</si>
  <si>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</si>
  <si>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</si>
  <si>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</si>
  <si>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</si>
  <si>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</si>
  <si>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</si>
  <si>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</si>
  <si>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</si>
  <si>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</si>
  <si>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</si>
  <si>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</si>
  <si>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</si>
  <si>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</si>
  <si>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</si>
  <si>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</si>
  <si>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</si>
  <si>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</si>
  <si>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</si>
  <si>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</si>
  <si>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</si>
  <si>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</si>
  <si>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</si>
  <si>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</si>
  <si>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</si>
  <si>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</si>
  <si>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</si>
  <si>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</si>
  <si>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</si>
  <si>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</si>
  <si>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</si>
  <si>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</si>
  <si>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</si>
  <si>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</si>
  <si>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</si>
  <si>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</si>
  <si>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</si>
  <si>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</si>
  <si>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</si>
  <si>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</si>
  <si>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</si>
  <si>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</si>
  <si>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</si>
  <si>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</si>
  <si>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</si>
  <si>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</si>
  <si>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</si>
  <si>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</si>
  <si>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</si>
  <si>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</si>
  <si>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</si>
  <si>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</si>
  <si>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</si>
  <si>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</si>
  <si>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</si>
  <si>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</si>
  <si>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</si>
  <si>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</si>
  <si>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</si>
  <si>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</si>
  <si>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</si>
  <si>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</si>
  <si>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</si>
  <si>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</si>
  <si>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</si>
  <si>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</si>
  <si>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</si>
  <si>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</si>
  <si>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</si>
  <si>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</si>
  <si>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</si>
  <si>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</si>
  <si>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</si>
  <si>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</si>
  <si>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</si>
  <si>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</si>
  <si>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</si>
  <si>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</si>
  <si>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</si>
  <si>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</si>
  <si>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</si>
  <si>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</si>
  <si>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</si>
  <si>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</si>
  <si>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</si>
  <si>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</si>
  <si>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</si>
  <si>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</si>
  <si>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</si>
  <si>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</si>
  <si>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</si>
  <si>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</si>
  <si>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</si>
  <si>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</si>
  <si>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</si>
  <si>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</si>
  <si>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</si>
  <si>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</si>
  <si>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</si>
  <si>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</si>
  <si>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</si>
  <si>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</si>
  <si>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</si>
  <si>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</si>
  <si>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</si>
  <si>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</si>
  <si>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</si>
  <si>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</si>
  <si>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</si>
  <si>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</si>
  <si>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</si>
  <si>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</si>
  <si>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</si>
  <si>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</si>
  <si>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</si>
  <si>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</si>
  <si>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</si>
  <si>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</si>
  <si>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</si>
  <si>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</si>
  <si>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</si>
  <si>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</si>
  <si>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</si>
  <si>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</si>
  <si>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</si>
  <si>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</si>
  <si>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</si>
  <si>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</si>
  <si>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</si>
  <si>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</si>
  <si>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</si>
  <si>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</si>
  <si>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</si>
  <si>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</si>
  <si>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</si>
  <si>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</si>
  <si>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</si>
  <si>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</si>
  <si>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</si>
  <si>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</si>
  <si>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</si>
  <si>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</si>
  <si>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</si>
  <si>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</si>
  <si>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</si>
  <si>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</si>
  <si>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</si>
  <si>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</si>
  <si>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</si>
  <si>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</si>
  <si>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</si>
  <si>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</si>
  <si>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</si>
  <si>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</si>
  <si>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</si>
  <si>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</si>
  <si>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</si>
  <si>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</si>
  <si>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</si>
  <si>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</si>
  <si>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</si>
  <si>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</si>
  <si>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</si>
  <si>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</si>
  <si>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</si>
  <si>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</si>
  <si>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</si>
  <si>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</si>
  <si>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</si>
  <si>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</si>
  <si>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</si>
  <si>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</si>
  <si>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</si>
  <si>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</si>
  <si>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</si>
  <si>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</si>
  <si>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</si>
  <si>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</si>
  <si>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</si>
  <si>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</si>
  <si>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</si>
  <si>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</si>
  <si>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</si>
  <si>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</si>
  <si>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</si>
  <si>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</si>
  <si>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</si>
  <si>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</si>
  <si>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</si>
  <si>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</si>
  <si>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</si>
  <si>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</si>
  <si>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</si>
  <si>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</si>
  <si>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</si>
  <si>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</si>
  <si>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</si>
  <si>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</si>
  <si>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</si>
  <si>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</si>
  <si>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</si>
  <si>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</si>
  <si>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</si>
  <si>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</si>
  <si>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</si>
  <si>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</si>
  <si>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</si>
  <si>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</si>
  <si>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</si>
  <si>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</si>
  <si>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</si>
  <si>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</si>
  <si>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</si>
  <si>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</si>
  <si>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</si>
  <si>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</si>
  <si>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</si>
  <si>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</si>
  <si>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</si>
  <si>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</si>
  <si>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</si>
  <si>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</si>
  <si>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</si>
  <si>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</si>
  <si>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</si>
  <si>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</si>
  <si>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</si>
  <si>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</si>
  <si>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</si>
  <si>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</si>
  <si>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</si>
  <si>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</si>
  <si>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</si>
  <si>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</si>
  <si>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</si>
  <si>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</si>
  <si>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</si>
  <si>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</si>
  <si>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</si>
  <si>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</si>
  <si>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</si>
  <si>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</si>
  <si>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</si>
  <si>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</si>
  <si>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</si>
  <si>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</si>
  <si>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</si>
  <si>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</si>
  <si>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</si>
  <si>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</si>
  <si>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</si>
  <si>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</si>
  <si>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</si>
  <si>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</si>
  <si>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</si>
  <si>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</si>
  <si>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</si>
  <si>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</si>
  <si>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</si>
  <si>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</si>
  <si>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</si>
  <si>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</si>
  <si>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</si>
  <si>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</si>
  <si>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</si>
  <si>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</si>
  <si>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</si>
  <si>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</si>
  <si>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</si>
  <si>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</si>
  <si>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</si>
  <si>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</si>
  <si>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</si>
  <si>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</si>
  <si>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</si>
  <si>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</si>
  <si>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</si>
  <si>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</si>
  <si>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</si>
  <si>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</si>
  <si>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</si>
  <si>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</si>
  <si>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</si>
  <si>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</si>
  <si>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</si>
  <si>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</si>
  <si>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</si>
  <si>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</si>
  <si>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</si>
  <si>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</si>
  <si>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</si>
  <si>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</si>
  <si>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</si>
  <si>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</si>
  <si>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</si>
  <si>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</si>
  <si>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</si>
  <si>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</si>
  <si>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</si>
  <si>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</si>
  <si>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</si>
  <si>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</si>
  <si>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</si>
  <si>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</si>
  <si>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</si>
  <si>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</si>
  <si>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</si>
  <si>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</si>
  <si>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</si>
  <si>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</si>
  <si>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</si>
  <si>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</si>
  <si>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</si>
  <si>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</si>
  <si>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</si>
  <si>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</si>
  <si>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</si>
  <si>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</si>
  <si>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</si>
  <si>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</si>
  <si>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</si>
  <si>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</si>
  <si>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</si>
  <si>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</si>
  <si>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</si>
  <si>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</si>
  <si>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</si>
  <si>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</si>
  <si>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</si>
  <si>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</si>
  <si>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</si>
  <si>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</si>
  <si>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</si>
  <si>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</si>
  <si>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</si>
  <si>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</si>
  <si>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</si>
  <si>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</si>
  <si>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</si>
  <si>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</si>
  <si>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</si>
  <si>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</si>
  <si>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</si>
  <si>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</si>
  <si>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</si>
  <si>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</si>
  <si>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</si>
  <si>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</si>
  <si>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</si>
  <si>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</si>
  <si>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</si>
  <si>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</si>
  <si>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</si>
  <si>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</si>
  <si>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</si>
  <si>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</si>
  <si>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</si>
  <si>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</si>
  <si>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</si>
  <si>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</si>
  <si>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</si>
  <si>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</si>
  <si>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</si>
  <si>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</si>
  <si>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</si>
  <si>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</si>
  <si>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</si>
  <si>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</si>
  <si>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</si>
  <si>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</si>
  <si>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</si>
  <si>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</si>
  <si>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</si>
  <si>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</si>
  <si>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</si>
  <si>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</si>
  <si>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</si>
  <si>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</si>
  <si>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</si>
  <si>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</si>
  <si>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</si>
  <si>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</si>
  <si>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</si>
  <si>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</si>
  <si>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</si>
  <si>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</si>
  <si>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</si>
  <si>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</si>
  <si>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</si>
  <si>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</si>
  <si>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</si>
  <si>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</si>
  <si>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</si>
  <si>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</si>
  <si>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</si>
  <si>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</si>
  <si>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</si>
  <si>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</si>
  <si>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</si>
  <si>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</si>
  <si>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</si>
  <si>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</si>
  <si>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</si>
  <si>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</si>
  <si>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</si>
  <si>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</si>
  <si>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</si>
  <si>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</si>
  <si>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</si>
  <si>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</si>
  <si>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</si>
  <si>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</si>
  <si>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</si>
  <si>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</si>
  <si>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</si>
  <si>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</si>
  <si>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</si>
  <si>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</si>
  <si>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</si>
  <si>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</si>
  <si>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</si>
  <si>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</si>
  <si>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</si>
  <si>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</si>
  <si>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</si>
  <si>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</si>
  <si>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</si>
  <si>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</si>
  <si>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</si>
  <si>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</si>
  <si>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</si>
  <si>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</si>
  <si>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</si>
  <si>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</si>
  <si>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</si>
  <si>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</si>
  <si>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</si>
  <si>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</si>
  <si>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</si>
  <si>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</si>
  <si>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</si>
  <si>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</si>
  <si>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</si>
  <si>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</si>
  <si>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</si>
  <si>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</si>
  <si>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</si>
  <si>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</si>
  <si>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</si>
  <si>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</si>
  <si>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</si>
  <si>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</si>
  <si>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</si>
  <si>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</si>
  <si>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</si>
  <si>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</si>
  <si>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</si>
  <si>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</si>
  <si>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</si>
  <si>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</si>
  <si>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</si>
  <si>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</si>
  <si>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</si>
  <si>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</si>
  <si>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</si>
  <si>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</si>
  <si>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</si>
  <si>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</si>
  <si>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</si>
  <si>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</si>
  <si>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</si>
  <si>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</si>
  <si>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</si>
  <si>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</si>
  <si>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</si>
  <si>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</si>
  <si>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</si>
  <si>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</si>
  <si>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</si>
  <si>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</si>
  <si>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</si>
  <si>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</si>
  <si>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</si>
  <si>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</si>
  <si>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</si>
  <si>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</si>
  <si>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</si>
  <si>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</si>
  <si>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</si>
  <si>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</si>
  <si>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</si>
  <si>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</si>
  <si>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</si>
  <si>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</si>
  <si>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</si>
  <si>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</si>
  <si>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</si>
  <si>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</si>
  <si>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</si>
  <si>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</si>
  <si>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</si>
  <si>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</si>
  <si>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</si>
  <si>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</si>
  <si>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</si>
  <si>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</si>
  <si>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</si>
  <si>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</si>
  <si>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</si>
  <si>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</si>
  <si>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</si>
  <si>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</si>
  <si>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</si>
  <si>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</si>
  <si>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</si>
  <si>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</si>
  <si>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</si>
  <si>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</si>
  <si>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</si>
  <si>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</si>
  <si>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</si>
  <si>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</si>
  <si>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</si>
  <si>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</si>
  <si>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</si>
  <si>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</si>
  <si>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</si>
  <si>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</si>
  <si>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</si>
  <si>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</si>
  <si>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</si>
  <si>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</si>
  <si>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</si>
  <si>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</si>
  <si>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</si>
  <si>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</si>
  <si>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</si>
  <si>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</si>
  <si>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</si>
  <si>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</si>
  <si>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</si>
  <si>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</si>
  <si>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</si>
  <si>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</si>
  <si>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</si>
  <si>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</si>
  <si>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</si>
  <si>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</si>
  <si>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</si>
  <si>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</si>
  <si>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</si>
  <si>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</si>
  <si>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</si>
  <si>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</si>
  <si>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</si>
  <si>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</si>
  <si>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</si>
  <si>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</si>
  <si>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</si>
  <si>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</si>
  <si>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</si>
  <si>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</si>
  <si>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</si>
  <si>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</si>
  <si>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</si>
  <si>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</si>
  <si>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</si>
  <si>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</si>
  <si>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</si>
  <si>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</si>
  <si>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</si>
  <si>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</si>
  <si>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</si>
  <si>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</si>
  <si>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</si>
  <si>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</si>
  <si>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</si>
  <si>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</si>
  <si>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</si>
  <si>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</si>
  <si>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</si>
  <si>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</si>
  <si>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</si>
  <si>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</si>
  <si>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</si>
  <si>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</si>
  <si>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</si>
  <si>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</si>
  <si>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</si>
  <si>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</si>
  <si>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</si>
  <si>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</si>
  <si>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</si>
  <si>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</si>
  <si>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</si>
  <si>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</si>
  <si>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</si>
  <si>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</si>
  <si>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</si>
  <si>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</si>
  <si>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</si>
  <si>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</si>
  <si>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</si>
  <si>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</si>
  <si>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</si>
  <si>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</si>
  <si>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</si>
  <si>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</si>
  <si>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</si>
  <si>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</si>
  <si>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</si>
  <si>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</si>
  <si>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</si>
  <si>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</si>
  <si>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</si>
  <si>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</si>
  <si>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</si>
  <si>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</si>
  <si>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</si>
  <si>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</si>
  <si>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</si>
  <si>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</si>
  <si>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</si>
  <si>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</si>
  <si>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</si>
  <si>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</si>
  <si>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</si>
  <si>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</si>
  <si>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</si>
  <si>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</si>
  <si>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</si>
  <si>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</si>
  <si>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</si>
  <si>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</si>
  <si>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</si>
  <si>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</si>
  <si>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</si>
  <si>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</si>
  <si>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</si>
  <si>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</si>
  <si>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</si>
  <si>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</si>
  <si>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</si>
  <si>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</si>
  <si>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</si>
  <si>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</si>
  <si>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</si>
  <si>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</si>
  <si>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</si>
  <si>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</si>
  <si>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</si>
  <si>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</si>
  <si>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05 13-003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</si>
  <si>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</si>
  <si>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</si>
  <si>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</si>
  <si>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</si>
  <si>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</si>
  <si>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</si>
  <si>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</si>
  <si>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</si>
  <si>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</si>
  <si>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</si>
  <si>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</si>
  <si>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</si>
  <si>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</si>
  <si>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</si>
  <si>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</si>
  <si>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</si>
  <si>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</si>
  <si>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</si>
  <si>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</si>
  <si>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</si>
  <si>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</si>
  <si>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</si>
  <si>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</si>
  <si>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</si>
  <si>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</si>
  <si>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</si>
  <si>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</si>
  <si>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</si>
  <si>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</si>
  <si>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</si>
  <si>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</si>
  <si>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</si>
  <si>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</si>
  <si>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</si>
  <si>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</si>
  <si>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</si>
  <si>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</si>
  <si>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</si>
  <si>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</si>
  <si>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</si>
  <si>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</si>
  <si>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</si>
  <si>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</si>
  <si>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</si>
  <si>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</si>
  <si>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</si>
  <si>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</si>
  <si>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</si>
  <si>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</si>
  <si>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</si>
  <si>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</si>
  <si>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</si>
  <si>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</si>
  <si>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</si>
  <si>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</si>
  <si>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</si>
  <si>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</si>
  <si>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</si>
  <si>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</si>
  <si>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</si>
  <si>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</si>
  <si>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</si>
  <si>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</si>
  <si>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</si>
  <si>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</si>
  <si>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</si>
  <si>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</si>
  <si>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</si>
  <si>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</si>
  <si>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</si>
  <si>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</si>
  <si>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</si>
  <si>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</si>
  <si>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 xml:space="preserve">Ad Rem (Total) 13735 VICEDIREC.1°(INST.DE MENORES) </t>
  </si>
  <si>
    <t>Ad Rem (Total) 13295 Dir. 3ª Ctro. Dep. Educ. Física</t>
  </si>
  <si>
    <t>Ad Rem (Total) 13090 Analista Mayor Planeamiento</t>
  </si>
  <si>
    <t>Ad Rem (Total) 13460 ENCARGADO TALLER</t>
  </si>
  <si>
    <t>Comp Prov Pérdida Inc Doc 13930</t>
  </si>
  <si>
    <t>Comp Prov Pérdida Inc Doc 13940</t>
  </si>
  <si>
    <t>Compl.No Remun</t>
  </si>
  <si>
    <t>nuevo</t>
  </si>
  <si>
    <t>C118100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</si>
</sst>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&quot;$&quot;\ #,##0.00;[Red]&quot;$&quot;\ \-#,##0.00"/>
    <numFmt numFmtId="182" formatCode="#,##0.00_ ;[Red]\-#,##0.00\ "/>
    <numFmt numFmtId="183" formatCode="_-* #,##0.00\ &quot;€&quot;_-;\-* #,##0.00\ &quot;€&quot;_-;_-* &quot;-&quot;??\ &quot;€&quot;_-;_-@_-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4.5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3" fontId="38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8" fillId="0" borderId="0" xfId="4" applyNumberFormat="1" applyFont="1" applyBorder="1" applyAlignment="1">
      <alignment horizontal="right" wrapText="1"/>
    </xf>
    <xf numFmtId="165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8" fillId="2" borderId="0" xfId="4" applyNumberFormat="1" applyFont="1" applyFill="1" applyBorder="1" applyAlignment="1">
      <alignment horizontal="right" wrapText="1"/>
    </xf>
    <xf numFmtId="165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8" fillId="5" borderId="0" xfId="4" applyNumberFormat="1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166" fontId="0" fillId="0" borderId="0" xfId="0" applyNumberFormat="1" applyBorder="1"/>
    <xf numFmtId="0" fontId="0" fillId="0" borderId="13" xfId="0" applyBorder="1"/>
    <xf numFmtId="176" fontId="0" fillId="0" borderId="0" xfId="0" applyNumberFormat="1" applyBorder="1"/>
    <xf numFmtId="0" fontId="11" fillId="0" borderId="0" xfId="0" applyFont="1" applyFill="1"/>
    <xf numFmtId="165" fontId="11" fillId="0" borderId="0" xfId="0" applyNumberFormat="1" applyFont="1" applyFill="1"/>
    <xf numFmtId="176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5" fontId="12" fillId="0" borderId="0" xfId="4" applyNumberFormat="1" applyFont="1" applyBorder="1"/>
    <xf numFmtId="165" fontId="14" fillId="0" borderId="0" xfId="4" applyNumberFormat="1" applyFont="1" applyBorder="1"/>
    <xf numFmtId="165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65" fontId="12" fillId="0" borderId="0" xfId="4" applyNumberFormat="1" applyFont="1" applyBorder="1" applyAlignment="1"/>
    <xf numFmtId="171" fontId="12" fillId="0" borderId="0" xfId="4" applyNumberFormat="1" applyFont="1" applyBorder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5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5" fontId="12" fillId="0" borderId="0" xfId="4" applyNumberFormat="1" applyFont="1" applyBorder="1" applyAlignment="1" applyProtection="1"/>
    <xf numFmtId="165" fontId="21" fillId="0" borderId="0" xfId="4" applyNumberFormat="1" applyFont="1" applyBorder="1"/>
    <xf numFmtId="165" fontId="18" fillId="0" borderId="0" xfId="4" applyNumberFormat="1" applyFont="1" applyBorder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 applyProtection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8" fontId="0" fillId="0" borderId="0" xfId="0" applyNumberFormat="1"/>
    <xf numFmtId="179" fontId="0" fillId="0" borderId="0" xfId="0" applyNumberFormat="1" applyBorder="1"/>
    <xf numFmtId="176" fontId="12" fillId="0" borderId="0" xfId="4" applyNumberFormat="1" applyFont="1" applyBorder="1"/>
    <xf numFmtId="165" fontId="14" fillId="8" borderId="1" xfId="4" quotePrefix="1" applyNumberFormat="1" applyFont="1" applyFill="1" applyBorder="1" applyAlignment="1">
      <alignment horizontal="center" vertical="center" wrapText="1"/>
    </xf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81" fontId="31" fillId="0" borderId="0" xfId="2" applyNumberFormat="1" applyFont="1"/>
    <xf numFmtId="175" fontId="0" fillId="0" borderId="0" xfId="0" applyNumberFormat="1"/>
    <xf numFmtId="4" fontId="0" fillId="0" borderId="0" xfId="0" applyNumberFormat="1" applyFill="1" applyBorder="1"/>
    <xf numFmtId="165" fontId="33" fillId="0" borderId="0" xfId="4" applyNumberFormat="1" applyFont="1" applyBorder="1"/>
    <xf numFmtId="0" fontId="32" fillId="0" borderId="0" xfId="0" applyFont="1" applyAlignment="1"/>
    <xf numFmtId="177" fontId="11" fillId="0" borderId="0" xfId="0" applyNumberFormat="1" applyFont="1" applyFill="1"/>
    <xf numFmtId="2" fontId="11" fillId="0" borderId="0" xfId="0" applyNumberFormat="1" applyFont="1" applyFill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3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3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1" fontId="21" fillId="0" borderId="0" xfId="4" applyNumberFormat="1" applyFont="1" applyBorder="1" applyAlignment="1">
      <alignment horizontal="center" wrapText="1"/>
    </xf>
    <xf numFmtId="171" fontId="12" fillId="0" borderId="0" xfId="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0" fontId="0" fillId="0" borderId="0" xfId="0" applyNumberFormat="1" applyBorder="1"/>
    <xf numFmtId="179" fontId="10" fillId="0" borderId="0" xfId="0" applyNumberFormat="1" applyFont="1" applyBorder="1"/>
    <xf numFmtId="165" fontId="37" fillId="6" borderId="0" xfId="4" applyNumberFormat="1" applyFont="1" applyFill="1" applyBorder="1" applyAlignment="1">
      <alignment horizontal="center"/>
    </xf>
    <xf numFmtId="182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9" fillId="0" borderId="0" xfId="4" applyFont="1" applyBorder="1" applyAlignment="1">
      <alignment horizontal="center" vertical="center"/>
    </xf>
    <xf numFmtId="175" fontId="0" fillId="0" borderId="0" xfId="0" applyNumberFormat="1" applyBorder="1"/>
    <xf numFmtId="167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165" fontId="41" fillId="0" borderId="10" xfId="4" applyNumberFormat="1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 applyProtection="1">
      <alignment horizontal="center" vertical="center"/>
    </xf>
    <xf numFmtId="165" fontId="18" fillId="0" borderId="2" xfId="1" applyFont="1" applyBorder="1" applyAlignment="1" applyProtection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40" fillId="0" borderId="1" xfId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 applyProtection="1">
      <alignment horizontal="center" vertical="center"/>
    </xf>
    <xf numFmtId="165" fontId="10" fillId="0" borderId="0" xfId="1" applyNumberFormat="1"/>
    <xf numFmtId="4" fontId="10" fillId="0" borderId="0" xfId="3" applyNumberFormat="1"/>
    <xf numFmtId="165" fontId="12" fillId="6" borderId="0" xfId="4" applyNumberFormat="1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17" fontId="36" fillId="0" borderId="0" xfId="4" quotePrefix="1" applyNumberFormat="1" applyFont="1" applyBorder="1" applyAlignment="1">
      <alignment horizontal="left" vertical="center" wrapText="1"/>
    </xf>
    <xf numFmtId="0" fontId="36" fillId="0" borderId="0" xfId="4" applyNumberFormat="1" applyFont="1" applyBorder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Border="1" applyAlignment="1">
      <alignment horizontal="center"/>
    </xf>
    <xf numFmtId="167" fontId="21" fillId="0" borderId="0" xfId="2" applyNumberFormat="1" applyFont="1" applyBorder="1" applyAlignment="1" applyProtection="1">
      <alignment horizontal="center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 wrapText="1"/>
    </xf>
    <xf numFmtId="165" fontId="21" fillId="0" borderId="0" xfId="4" applyNumberFormat="1" applyFont="1" applyBorder="1" applyAlignment="1">
      <alignment horizontal="center" wrapText="1"/>
    </xf>
    <xf numFmtId="0" fontId="17" fillId="0" borderId="7" xfId="4" applyFont="1" applyBorder="1" applyAlignment="1">
      <alignment horizontal="left" vertical="center"/>
    </xf>
    <xf numFmtId="0" fontId="17" fillId="0" borderId="6" xfId="4" applyFont="1" applyBorder="1" applyAlignment="1">
      <alignment horizontal="left" vertical="center"/>
    </xf>
    <xf numFmtId="0" fontId="17" fillId="0" borderId="8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5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176011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zoomScaleNormal="100" workbookViewId="0">
      <pane ySplit="1" topLeftCell="A2" activePane="bottomLeft" state="frozen"/>
      <selection pane="bottomLeft" activeCell="C14" sqref="C14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569</v>
      </c>
      <c r="H1" s="1"/>
      <c r="I1" s="1" t="s">
        <v>2</v>
      </c>
      <c r="J1" s="1" t="s">
        <v>3</v>
      </c>
      <c r="L1" s="120">
        <v>0</v>
      </c>
    </row>
    <row r="2" spans="1:14" s="80" customFormat="1" ht="12.75" customHeight="1" x14ac:dyDescent="0.2">
      <c r="A2" s="79"/>
      <c r="B2" s="80" t="s">
        <v>5</v>
      </c>
      <c r="C2" s="185">
        <v>97.805999999999997</v>
      </c>
      <c r="G2" s="81">
        <f>27.1212*1.2</f>
        <v>32.545439999999999</v>
      </c>
      <c r="I2" s="80">
        <v>0</v>
      </c>
      <c r="J2" s="82">
        <v>0</v>
      </c>
      <c r="L2" s="121">
        <v>1</v>
      </c>
      <c r="N2" s="187">
        <v>0</v>
      </c>
    </row>
    <row r="3" spans="1:14" s="80" customFormat="1" ht="12.75" customHeight="1" x14ac:dyDescent="0.2">
      <c r="A3" s="79" t="s">
        <v>4</v>
      </c>
      <c r="B3" s="80" t="s">
        <v>6</v>
      </c>
      <c r="C3" s="6">
        <v>0.15</v>
      </c>
      <c r="I3" s="80">
        <v>1</v>
      </c>
      <c r="J3" s="82">
        <v>0.25</v>
      </c>
      <c r="L3" s="121">
        <v>2</v>
      </c>
      <c r="N3" s="187">
        <v>0.2</v>
      </c>
    </row>
    <row r="4" spans="1:14" s="80" customFormat="1" ht="12.75" customHeight="1" x14ac:dyDescent="0.2">
      <c r="A4" s="79" t="s">
        <v>4</v>
      </c>
      <c r="B4" s="79" t="s">
        <v>603</v>
      </c>
      <c r="C4" s="6">
        <v>0.25</v>
      </c>
      <c r="H4" s="83"/>
      <c r="I4" s="80">
        <v>2</v>
      </c>
      <c r="J4" s="82">
        <v>0.25</v>
      </c>
      <c r="L4" s="122">
        <v>3</v>
      </c>
      <c r="N4" s="187">
        <v>0.4</v>
      </c>
    </row>
    <row r="5" spans="1:14" s="80" customFormat="1" ht="12.75" customHeight="1" x14ac:dyDescent="0.2">
      <c r="A5" s="79"/>
      <c r="B5" s="80" t="s">
        <v>7</v>
      </c>
      <c r="C5" s="6">
        <v>0.4</v>
      </c>
      <c r="D5" s="87">
        <f>ROUND((('Escala Docente'!F142*C5)),2)</f>
        <v>49998.43</v>
      </c>
      <c r="E5" s="87">
        <f>ROUND(D5/15,2)</f>
        <v>3333.23</v>
      </c>
      <c r="F5" s="83">
        <v>74997.64</v>
      </c>
      <c r="G5" s="83"/>
      <c r="I5" s="80">
        <v>3</v>
      </c>
      <c r="J5" s="82">
        <v>0.25</v>
      </c>
      <c r="L5" s="122">
        <v>4</v>
      </c>
      <c r="N5" s="187">
        <v>0.6</v>
      </c>
    </row>
    <row r="6" spans="1:14" s="80" customFormat="1" ht="12.75" customHeight="1" x14ac:dyDescent="0.2">
      <c r="A6" s="84" t="s">
        <v>568</v>
      </c>
      <c r="B6" s="84"/>
      <c r="C6" s="75"/>
      <c r="D6" s="84"/>
      <c r="E6" s="84"/>
      <c r="F6" s="84"/>
      <c r="G6" s="84"/>
      <c r="H6" s="196">
        <f>105792.84/1278</f>
        <v>82.78</v>
      </c>
      <c r="I6" s="80">
        <v>4</v>
      </c>
      <c r="J6" s="82">
        <v>0.25</v>
      </c>
      <c r="L6" s="122">
        <v>5</v>
      </c>
      <c r="N6" s="187">
        <v>0.8</v>
      </c>
    </row>
    <row r="7" spans="1:14" s="80" customFormat="1" ht="12.75" customHeight="1" x14ac:dyDescent="0.2">
      <c r="A7" s="144" t="s">
        <v>4</v>
      </c>
      <c r="B7" s="145" t="s">
        <v>9</v>
      </c>
      <c r="C7" s="93">
        <v>1043.1400000000001</v>
      </c>
      <c r="D7" s="87"/>
      <c r="E7" s="148"/>
      <c r="F7" s="83"/>
      <c r="G7" s="156">
        <v>347.14</v>
      </c>
      <c r="I7" s="80">
        <v>5</v>
      </c>
      <c r="J7" s="82">
        <v>0.3</v>
      </c>
      <c r="L7" s="121">
        <v>6</v>
      </c>
      <c r="N7" s="187">
        <v>1</v>
      </c>
    </row>
    <row r="8" spans="1:14" s="80" customFormat="1" ht="12.75" customHeight="1" x14ac:dyDescent="0.2">
      <c r="A8" s="144" t="s">
        <v>4</v>
      </c>
      <c r="B8" s="145" t="s">
        <v>579</v>
      </c>
      <c r="C8" s="93">
        <v>46521.33</v>
      </c>
      <c r="D8" s="87"/>
      <c r="E8" s="190" t="s">
        <v>536</v>
      </c>
      <c r="F8" s="83"/>
      <c r="G8" s="156">
        <v>15481.21</v>
      </c>
      <c r="I8" s="80">
        <v>6</v>
      </c>
      <c r="J8" s="82">
        <v>0.3</v>
      </c>
      <c r="L8" s="122">
        <v>7</v>
      </c>
      <c r="N8" s="187">
        <v>1.5</v>
      </c>
    </row>
    <row r="9" spans="1:14" s="80" customFormat="1" ht="12.75" customHeight="1" x14ac:dyDescent="0.2">
      <c r="A9" s="144" t="s">
        <v>4</v>
      </c>
      <c r="B9" s="145" t="s">
        <v>580</v>
      </c>
      <c r="C9" s="91">
        <v>46045.69</v>
      </c>
      <c r="D9" s="87">
        <f>C9*1.129</f>
        <v>51985.584010000006</v>
      </c>
      <c r="E9" s="148"/>
      <c r="F9" s="83"/>
      <c r="G9" s="156">
        <v>15322.93</v>
      </c>
      <c r="I9" s="80">
        <v>7</v>
      </c>
      <c r="J9" s="82">
        <v>0.4</v>
      </c>
      <c r="L9" s="122">
        <v>8</v>
      </c>
    </row>
    <row r="10" spans="1:14" s="80" customFormat="1" ht="12.75" customHeight="1" x14ac:dyDescent="0.2">
      <c r="A10" s="74" t="s">
        <v>568</v>
      </c>
      <c r="B10" s="74"/>
      <c r="C10" s="77"/>
      <c r="D10" s="74"/>
      <c r="E10" s="74"/>
      <c r="F10" s="74"/>
      <c r="G10" s="74"/>
      <c r="I10" s="80">
        <v>8</v>
      </c>
      <c r="J10" s="82">
        <v>0.4</v>
      </c>
      <c r="L10" s="122">
        <v>9</v>
      </c>
    </row>
    <row r="11" spans="1:14" s="80" customFormat="1" ht="12.75" customHeight="1" x14ac:dyDescent="0.2">
      <c r="A11" s="88" t="s">
        <v>4</v>
      </c>
      <c r="B11" s="88" t="s">
        <v>779</v>
      </c>
      <c r="C11" s="93">
        <v>36428</v>
      </c>
      <c r="D11" s="89">
        <f>C11/C13</f>
        <v>15</v>
      </c>
      <c r="E11" s="90"/>
      <c r="F11" s="89"/>
      <c r="G11" s="90"/>
      <c r="I11" s="80">
        <v>9</v>
      </c>
      <c r="J11" s="82">
        <v>0.4</v>
      </c>
    </row>
    <row r="12" spans="1:14" s="80" customFormat="1" ht="12.75" customHeight="1" x14ac:dyDescent="0.2">
      <c r="A12" s="88" t="s">
        <v>4</v>
      </c>
      <c r="B12" s="88" t="s">
        <v>780</v>
      </c>
      <c r="C12" s="93">
        <f>C11*2</f>
        <v>72856</v>
      </c>
      <c r="D12" s="89"/>
      <c r="E12" s="90"/>
      <c r="F12" s="89"/>
      <c r="G12" s="89"/>
      <c r="I12" s="80">
        <v>10</v>
      </c>
      <c r="J12" s="82">
        <v>0.5</v>
      </c>
    </row>
    <row r="13" spans="1:14" s="80" customFormat="1" ht="12.75" customHeight="1" x14ac:dyDescent="0.2">
      <c r="A13" s="88" t="s">
        <v>4</v>
      </c>
      <c r="B13" s="88" t="s">
        <v>781</v>
      </c>
      <c r="C13" s="93">
        <v>2428.5333333333333</v>
      </c>
      <c r="D13" s="90"/>
      <c r="E13" s="89"/>
      <c r="F13" s="89">
        <f>C12</f>
        <v>72856</v>
      </c>
      <c r="G13" s="89"/>
      <c r="I13" s="80">
        <v>11</v>
      </c>
      <c r="J13" s="82">
        <v>0.5</v>
      </c>
      <c r="M13" s="209" t="str">
        <f ca="1">MID(CELL("FILENAME",N30),FIND("[",CELL("FILENAME",N30))+1,FIND("]",CELL("FILENAME",N30))-FIND("[",CELL("FILENAME",N30))-6)</f>
        <v>Esc Doc 2024 06 Cba V 1 2 JUNIO</v>
      </c>
      <c r="N13" s="209"/>
    </row>
    <row r="14" spans="1:14" s="80" customFormat="1" ht="12.75" customHeight="1" x14ac:dyDescent="0.2">
      <c r="A14" s="88"/>
      <c r="B14" s="88" t="s">
        <v>826</v>
      </c>
      <c r="C14" s="93">
        <v>4857.07</v>
      </c>
      <c r="D14" s="90"/>
      <c r="E14" s="89"/>
      <c r="F14" s="89"/>
      <c r="G14" s="89"/>
      <c r="I14" s="80">
        <v>12</v>
      </c>
      <c r="J14" s="82">
        <v>0.6</v>
      </c>
      <c r="M14" s="189" t="str">
        <f ca="1">MID($M$13,14,2)</f>
        <v>06</v>
      </c>
    </row>
    <row r="15" spans="1:14" s="80" customFormat="1" ht="12.75" customHeight="1" x14ac:dyDescent="0.2">
      <c r="A15" s="88"/>
      <c r="B15" s="88" t="s">
        <v>827</v>
      </c>
      <c r="C15" s="93">
        <v>2428.5333333333333</v>
      </c>
      <c r="D15" s="90"/>
      <c r="E15" s="89"/>
      <c r="F15" s="89"/>
      <c r="G15" s="89"/>
      <c r="I15" s="80">
        <v>13</v>
      </c>
      <c r="J15" s="82">
        <v>0.6</v>
      </c>
      <c r="M15" s="189" t="str">
        <f ca="1">MID($M$13,9,4)</f>
        <v>2024</v>
      </c>
    </row>
    <row r="16" spans="1:14" s="80" customFormat="1" ht="12.75" customHeight="1" x14ac:dyDescent="0.2">
      <c r="A16" s="74" t="s">
        <v>568</v>
      </c>
      <c r="B16" s="74"/>
      <c r="C16" s="77"/>
      <c r="D16" s="74"/>
      <c r="E16" s="74"/>
      <c r="F16" s="74"/>
      <c r="G16" s="74"/>
      <c r="I16" s="80">
        <v>14</v>
      </c>
      <c r="J16" s="82">
        <v>0.6</v>
      </c>
      <c r="M16" s="80" t="str">
        <f ca="1">VLOOKUP(VALUE(M14),L17:M28,2,FALSE)</f>
        <v>JUNIO</v>
      </c>
    </row>
    <row r="17" spans="1:13" s="80" customFormat="1" ht="12.75" customHeight="1" x14ac:dyDescent="0.2">
      <c r="A17" s="73" t="s">
        <v>8</v>
      </c>
      <c r="B17" t="s">
        <v>10</v>
      </c>
      <c r="C17" s="76">
        <v>0</v>
      </c>
      <c r="D17" s="5"/>
      <c r="E17" s="5"/>
      <c r="F17" s="160">
        <f>C17</f>
        <v>0</v>
      </c>
      <c r="G17" s="5"/>
      <c r="I17" s="80">
        <v>15</v>
      </c>
      <c r="J17" s="82">
        <v>0.7</v>
      </c>
      <c r="L17" s="189">
        <v>1</v>
      </c>
      <c r="M17" s="80" t="s">
        <v>584</v>
      </c>
    </row>
    <row r="18" spans="1:13" s="80" customFormat="1" ht="12.75" customHeight="1" x14ac:dyDescent="0.2">
      <c r="A18" s="73" t="s">
        <v>8</v>
      </c>
      <c r="B18" s="73" t="s">
        <v>600</v>
      </c>
      <c r="C18" s="76">
        <f>C17/30</f>
        <v>0</v>
      </c>
      <c r="D18" s="5"/>
      <c r="E18" s="5"/>
      <c r="F18" s="159"/>
      <c r="G18" s="5"/>
      <c r="H18" s="83"/>
      <c r="I18" s="80">
        <v>16</v>
      </c>
      <c r="J18" s="82">
        <v>0.7</v>
      </c>
      <c r="L18" s="189">
        <v>2</v>
      </c>
      <c r="M18" s="80" t="s">
        <v>585</v>
      </c>
    </row>
    <row r="19" spans="1:13" s="80" customFormat="1" ht="12.75" customHeight="1" x14ac:dyDescent="0.2">
      <c r="A19" s="73" t="s">
        <v>8</v>
      </c>
      <c r="B19" s="73" t="s">
        <v>751</v>
      </c>
      <c r="C19" s="76">
        <v>0</v>
      </c>
      <c r="D19" s="5"/>
      <c r="E19" s="5"/>
      <c r="F19" s="159"/>
      <c r="G19" s="5"/>
      <c r="I19" s="80">
        <v>17</v>
      </c>
      <c r="J19" s="82">
        <v>0.8</v>
      </c>
      <c r="L19" s="189">
        <v>3</v>
      </c>
      <c r="M19" s="80" t="s">
        <v>586</v>
      </c>
    </row>
    <row r="20" spans="1:13" s="80" customFormat="1" ht="12.75" customHeight="1" x14ac:dyDescent="0.2">
      <c r="A20" s="74" t="s">
        <v>568</v>
      </c>
      <c r="B20" s="74"/>
      <c r="C20" s="77"/>
      <c r="D20" s="74"/>
      <c r="E20" s="74"/>
      <c r="F20" s="74"/>
      <c r="G20" s="74"/>
      <c r="H20" s="83"/>
      <c r="I20" s="80">
        <v>18</v>
      </c>
      <c r="J20" s="82">
        <v>0.8</v>
      </c>
      <c r="L20" s="189">
        <v>4</v>
      </c>
      <c r="M20" s="80" t="s">
        <v>587</v>
      </c>
    </row>
    <row r="21" spans="1:13" s="80" customFormat="1" ht="12.75" customHeight="1" x14ac:dyDescent="0.2">
      <c r="A21" s="73" t="s">
        <v>4</v>
      </c>
      <c r="B21" s="2" t="s">
        <v>583</v>
      </c>
      <c r="C21" s="92">
        <v>30817.87</v>
      </c>
      <c r="D21" s="6"/>
      <c r="E21" s="147"/>
      <c r="F21" s="5"/>
      <c r="G21" s="156">
        <v>10255.459999999999</v>
      </c>
      <c r="H21" s="83"/>
      <c r="I21" s="80">
        <v>19</v>
      </c>
      <c r="J21" s="82">
        <v>0.8</v>
      </c>
      <c r="L21" s="189">
        <v>5</v>
      </c>
      <c r="M21" s="80" t="s">
        <v>588</v>
      </c>
    </row>
    <row r="22" spans="1:13" s="80" customFormat="1" ht="12.75" customHeight="1" x14ac:dyDescent="0.2">
      <c r="A22" s="73" t="s">
        <v>4</v>
      </c>
      <c r="B22" s="2" t="s">
        <v>582</v>
      </c>
      <c r="C22" s="93">
        <v>32774.300000000003</v>
      </c>
      <c r="D22" s="6"/>
      <c r="E22" s="147"/>
      <c r="F22" s="5"/>
      <c r="G22" s="156">
        <v>10906.52</v>
      </c>
      <c r="H22" s="83"/>
      <c r="I22" s="80">
        <v>20</v>
      </c>
      <c r="J22" s="82">
        <v>1</v>
      </c>
      <c r="L22" s="189">
        <v>6</v>
      </c>
      <c r="M22" s="80" t="s">
        <v>589</v>
      </c>
    </row>
    <row r="23" spans="1:13" s="80" customFormat="1" ht="12.75" customHeight="1" x14ac:dyDescent="0.2">
      <c r="A23" s="73" t="s">
        <v>4</v>
      </c>
      <c r="B23" s="2" t="s">
        <v>581</v>
      </c>
      <c r="C23" s="93">
        <v>34731.18</v>
      </c>
      <c r="D23" s="6"/>
      <c r="E23" s="147"/>
      <c r="F23"/>
      <c r="G23" s="156">
        <v>11557.73</v>
      </c>
      <c r="H23" s="83"/>
      <c r="I23" s="80">
        <v>21</v>
      </c>
      <c r="J23" s="82">
        <v>1</v>
      </c>
      <c r="L23" s="189">
        <v>7</v>
      </c>
      <c r="M23" s="80" t="s">
        <v>590</v>
      </c>
    </row>
    <row r="24" spans="1:13" s="80" customFormat="1" ht="12.75" customHeight="1" x14ac:dyDescent="0.2">
      <c r="A24" s="73" t="s">
        <v>4</v>
      </c>
      <c r="B24" s="2" t="s">
        <v>749</v>
      </c>
      <c r="C24" s="93">
        <v>36672.879999999997</v>
      </c>
      <c r="D24" s="6"/>
      <c r="E24" s="147"/>
      <c r="F24"/>
      <c r="G24" s="156">
        <v>12203.88</v>
      </c>
      <c r="H24" s="83"/>
      <c r="I24" s="80">
        <v>22</v>
      </c>
      <c r="J24" s="82">
        <v>1.1000000000000001</v>
      </c>
      <c r="L24" s="189">
        <v>8</v>
      </c>
      <c r="M24" s="80" t="s">
        <v>591</v>
      </c>
    </row>
    <row r="25" spans="1:13" s="80" customFormat="1" ht="12.75" customHeight="1" x14ac:dyDescent="0.2">
      <c r="A25" s="144" t="s">
        <v>4</v>
      </c>
      <c r="B25" s="2" t="s">
        <v>748</v>
      </c>
      <c r="C25" s="93">
        <v>42556.65</v>
      </c>
      <c r="D25" s="6"/>
      <c r="E25" s="147"/>
      <c r="F25" s="192">
        <v>48169.84</v>
      </c>
      <c r="G25" s="156">
        <v>14161.86</v>
      </c>
      <c r="H25" s="83"/>
      <c r="I25" s="80">
        <v>23</v>
      </c>
      <c r="J25" s="82">
        <v>1.1000000000000001</v>
      </c>
      <c r="L25" s="189">
        <v>9</v>
      </c>
      <c r="M25" s="80" t="s">
        <v>592</v>
      </c>
    </row>
    <row r="26" spans="1:13" s="80" customFormat="1" ht="12.75" customHeight="1" x14ac:dyDescent="0.2">
      <c r="A26" s="73" t="s">
        <v>4</v>
      </c>
      <c r="B26" s="2" t="s">
        <v>750</v>
      </c>
      <c r="C26" s="93">
        <v>52265.18</v>
      </c>
      <c r="D26" s="6"/>
      <c r="E26" s="147"/>
      <c r="F26" s="8"/>
      <c r="G26" s="156">
        <v>17392.63</v>
      </c>
      <c r="H26" s="83"/>
      <c r="I26" s="80">
        <v>24</v>
      </c>
      <c r="J26" s="82">
        <v>1.2</v>
      </c>
      <c r="L26" s="189">
        <v>10</v>
      </c>
      <c r="M26" s="80" t="s">
        <v>593</v>
      </c>
    </row>
    <row r="27" spans="1:13" s="80" customFormat="1" ht="12.75" customHeight="1" x14ac:dyDescent="0.2">
      <c r="A27" s="73" t="s">
        <v>4</v>
      </c>
      <c r="B27" s="2" t="s">
        <v>753</v>
      </c>
      <c r="C27" s="93">
        <v>44496.34</v>
      </c>
      <c r="D27" s="6"/>
      <c r="E27" s="147"/>
      <c r="F27" s="8"/>
      <c r="G27" s="156">
        <v>14808.01</v>
      </c>
      <c r="H27" s="83"/>
      <c r="I27" s="80">
        <v>25</v>
      </c>
      <c r="J27" s="82">
        <v>1.2</v>
      </c>
      <c r="L27" s="189">
        <v>11</v>
      </c>
      <c r="M27" s="80" t="s">
        <v>594</v>
      </c>
    </row>
    <row r="28" spans="1:13" s="80" customFormat="1" ht="12.75" customHeight="1" x14ac:dyDescent="0.2">
      <c r="A28" s="73" t="s">
        <v>4</v>
      </c>
      <c r="B28" s="2" t="s">
        <v>11</v>
      </c>
      <c r="C28" s="93">
        <v>1747.04</v>
      </c>
      <c r="D28" s="6"/>
      <c r="E28" s="147"/>
      <c r="F28"/>
      <c r="G28" s="156">
        <v>581.38</v>
      </c>
      <c r="I28" s="80">
        <v>26</v>
      </c>
      <c r="J28" s="82">
        <v>1.3</v>
      </c>
      <c r="L28" s="189">
        <v>12</v>
      </c>
      <c r="M28" s="80" t="s">
        <v>595</v>
      </c>
    </row>
    <row r="29" spans="1:13" s="80" customFormat="1" ht="13.5" customHeight="1" x14ac:dyDescent="0.2">
      <c r="A29" s="73" t="s">
        <v>4</v>
      </c>
      <c r="B29" s="2" t="s">
        <v>12</v>
      </c>
      <c r="C29" s="93">
        <f>C30*2</f>
        <v>2597.48</v>
      </c>
      <c r="D29" s="6"/>
      <c r="E29" s="147"/>
      <c r="F29"/>
      <c r="G29" s="156">
        <v>864.36</v>
      </c>
      <c r="I29" s="80">
        <v>27</v>
      </c>
      <c r="J29" s="82">
        <v>1.3</v>
      </c>
    </row>
    <row r="30" spans="1:13" s="80" customFormat="1" ht="12.75" customHeight="1" x14ac:dyDescent="0.2">
      <c r="A30" s="73" t="s">
        <v>4</v>
      </c>
      <c r="B30" s="2" t="s">
        <v>598</v>
      </c>
      <c r="C30" s="93">
        <v>1298.74</v>
      </c>
      <c r="D30" s="6"/>
      <c r="E30" s="147"/>
      <c r="F30"/>
      <c r="G30" s="156">
        <v>432.18</v>
      </c>
      <c r="I30" s="80">
        <v>28</v>
      </c>
      <c r="J30" s="82">
        <v>1.4</v>
      </c>
    </row>
    <row r="31" spans="1:13" s="80" customFormat="1" ht="12.75" customHeight="1" x14ac:dyDescent="0.2">
      <c r="A31" s="74" t="s">
        <v>568</v>
      </c>
      <c r="B31" s="74"/>
      <c r="C31" s="77"/>
      <c r="D31" s="74"/>
      <c r="E31" s="74"/>
      <c r="F31" s="74"/>
      <c r="G31" s="74"/>
      <c r="I31" s="80">
        <v>29</v>
      </c>
      <c r="J31" s="82">
        <v>1.4</v>
      </c>
    </row>
    <row r="32" spans="1:13" s="80" customFormat="1" ht="12.75" customHeight="1" x14ac:dyDescent="0.2">
      <c r="A32" s="73" t="s">
        <v>4</v>
      </c>
      <c r="B32" s="2" t="s">
        <v>576</v>
      </c>
      <c r="C32" s="92">
        <v>23377.77</v>
      </c>
      <c r="D32" s="3">
        <f>ROUND((C32/15)-0.0005,2)</f>
        <v>1558.52</v>
      </c>
      <c r="E32" s="78">
        <v>38.47</v>
      </c>
      <c r="F32" s="3">
        <f>(+C32*2)-0.02</f>
        <v>46755.520000000004</v>
      </c>
      <c r="G32" s="156">
        <v>7582.51</v>
      </c>
      <c r="I32" s="80">
        <v>30</v>
      </c>
      <c r="J32" s="82">
        <v>1.5</v>
      </c>
    </row>
    <row r="33" spans="1:13" s="80" customFormat="1" ht="12.75" customHeight="1" x14ac:dyDescent="0.2">
      <c r="A33" s="73" t="s">
        <v>4</v>
      </c>
      <c r="B33" s="2" t="s">
        <v>777</v>
      </c>
      <c r="C33" s="92">
        <f>C32/15</f>
        <v>1558.518</v>
      </c>
      <c r="D33" s="3"/>
      <c r="E33" s="78"/>
      <c r="F33" s="3"/>
      <c r="G33" s="156"/>
      <c r="I33" s="80">
        <v>31</v>
      </c>
      <c r="J33" s="82">
        <v>1.5</v>
      </c>
    </row>
    <row r="34" spans="1:13" s="80" customFormat="1" ht="12.75" customHeight="1" x14ac:dyDescent="0.2">
      <c r="A34" s="73" t="s">
        <v>4</v>
      </c>
      <c r="B34" s="2" t="s">
        <v>820</v>
      </c>
      <c r="C34" s="92">
        <f>+C35*2</f>
        <v>2353.7600000000002</v>
      </c>
      <c r="D34" s="153"/>
      <c r="E34"/>
      <c r="F34" s="3"/>
      <c r="G34" s="156">
        <v>9099.01</v>
      </c>
      <c r="I34">
        <v>32</v>
      </c>
      <c r="J34" s="3">
        <v>1.5</v>
      </c>
      <c r="M34" s="85"/>
    </row>
    <row r="35" spans="1:13" s="86" customFormat="1" ht="13.5" customHeight="1" thickBot="1" x14ac:dyDescent="0.25">
      <c r="A35" s="73" t="s">
        <v>4</v>
      </c>
      <c r="B35" s="2" t="s">
        <v>599</v>
      </c>
      <c r="C35" s="92">
        <v>1176.8800000000001</v>
      </c>
      <c r="D35" s="153"/>
      <c r="E35"/>
      <c r="F35" s="3"/>
      <c r="G35" s="156">
        <v>15165.02</v>
      </c>
      <c r="I35" s="86">
        <v>33</v>
      </c>
      <c r="J35" s="86">
        <v>1.5</v>
      </c>
    </row>
    <row r="36" spans="1:13" ht="17.25" customHeight="1" thickTop="1" x14ac:dyDescent="0.2">
      <c r="A36" s="74" t="s">
        <v>568</v>
      </c>
      <c r="B36" s="74"/>
      <c r="C36" s="75"/>
      <c r="D36" s="74"/>
      <c r="E36" s="74"/>
      <c r="F36" s="74"/>
      <c r="G36" s="74">
        <v>335.93</v>
      </c>
      <c r="I36">
        <v>34</v>
      </c>
      <c r="J36" s="3">
        <v>1.5</v>
      </c>
      <c r="M36" s="7"/>
    </row>
    <row r="37" spans="1:13" ht="12.75" customHeight="1" x14ac:dyDescent="0.2">
      <c r="A37" s="73" t="s">
        <v>8</v>
      </c>
      <c r="B37" s="2" t="s">
        <v>13</v>
      </c>
      <c r="C37" s="9">
        <v>0</v>
      </c>
      <c r="D37" s="10"/>
      <c r="G37" s="186"/>
      <c r="H37" s="5"/>
      <c r="I37">
        <v>35</v>
      </c>
      <c r="J37" s="3">
        <v>1.5</v>
      </c>
    </row>
    <row r="38" spans="1:13" ht="12.75" customHeight="1" x14ac:dyDescent="0.2">
      <c r="A38" s="74" t="s">
        <v>568</v>
      </c>
      <c r="B38" s="74"/>
      <c r="C38" s="75"/>
      <c r="D38" s="74"/>
      <c r="E38" s="74"/>
      <c r="F38" s="74"/>
      <c r="G38" s="74"/>
      <c r="H38" s="5"/>
      <c r="I38">
        <v>36</v>
      </c>
      <c r="J38" s="3">
        <v>1.5</v>
      </c>
    </row>
    <row r="39" spans="1:13" ht="12.75" customHeight="1" x14ac:dyDescent="0.2">
      <c r="A39" s="73" t="s">
        <v>8</v>
      </c>
      <c r="B39" t="s">
        <v>14</v>
      </c>
      <c r="C39" s="11">
        <v>-0.11</v>
      </c>
      <c r="H39" s="5"/>
      <c r="I39">
        <v>39</v>
      </c>
      <c r="J39" s="3">
        <v>1.5</v>
      </c>
    </row>
    <row r="40" spans="1:13" ht="12.75" customHeight="1" x14ac:dyDescent="0.2">
      <c r="A40" s="73" t="s">
        <v>4</v>
      </c>
      <c r="B40" t="s">
        <v>770</v>
      </c>
      <c r="C40" s="11">
        <v>-0.02</v>
      </c>
      <c r="E40">
        <v>755000.01</v>
      </c>
      <c r="F40">
        <v>1000000.01</v>
      </c>
      <c r="H40" s="5"/>
      <c r="I40">
        <v>40</v>
      </c>
      <c r="J40" s="3">
        <v>1.5</v>
      </c>
    </row>
    <row r="41" spans="1:13" ht="12.75" customHeight="1" x14ac:dyDescent="0.2">
      <c r="A41" s="73" t="s">
        <v>8</v>
      </c>
      <c r="B41" t="s">
        <v>15</v>
      </c>
      <c r="C41" s="11">
        <v>0</v>
      </c>
      <c r="H41" s="5"/>
      <c r="I41">
        <v>41</v>
      </c>
      <c r="J41" s="3">
        <v>1.5</v>
      </c>
    </row>
    <row r="42" spans="1:13" ht="12.75" customHeight="1" x14ac:dyDescent="0.2">
      <c r="A42" s="73" t="s">
        <v>8</v>
      </c>
      <c r="B42" t="s">
        <v>16</v>
      </c>
      <c r="C42" s="11">
        <v>-5.5E-2</v>
      </c>
      <c r="H42" s="5"/>
      <c r="I42">
        <v>42</v>
      </c>
      <c r="J42" s="3">
        <v>1.5</v>
      </c>
    </row>
    <row r="43" spans="1:13" ht="12.75" customHeight="1" x14ac:dyDescent="0.2">
      <c r="A43" s="73" t="s">
        <v>8</v>
      </c>
      <c r="B43" t="s">
        <v>17</v>
      </c>
      <c r="C43" s="11">
        <v>-2.7E-2</v>
      </c>
      <c r="H43" s="5"/>
      <c r="I43">
        <v>43</v>
      </c>
      <c r="J43" s="3">
        <v>1.5</v>
      </c>
    </row>
    <row r="44" spans="1:13" x14ac:dyDescent="0.2">
      <c r="A44" s="73" t="s">
        <v>8</v>
      </c>
      <c r="B44" t="s">
        <v>18</v>
      </c>
      <c r="C44" s="11">
        <v>-3.0000000000000001E-3</v>
      </c>
      <c r="G44" s="186"/>
      <c r="I44">
        <v>44</v>
      </c>
      <c r="J44" s="3">
        <v>1.5</v>
      </c>
    </row>
    <row r="45" spans="1:13" x14ac:dyDescent="0.2">
      <c r="A45" s="74" t="s">
        <v>568</v>
      </c>
      <c r="B45" s="74"/>
      <c r="C45" s="75"/>
      <c r="D45" s="74"/>
      <c r="E45" s="74"/>
      <c r="F45" s="74"/>
      <c r="G45" s="74"/>
      <c r="I45">
        <v>45</v>
      </c>
      <c r="J45" s="3">
        <v>1.5</v>
      </c>
    </row>
    <row r="46" spans="1:13" x14ac:dyDescent="0.2">
      <c r="A46" s="73" t="s">
        <v>8</v>
      </c>
      <c r="B46" t="s">
        <v>19</v>
      </c>
      <c r="C46" s="11">
        <v>0.16</v>
      </c>
      <c r="H46" s="5"/>
      <c r="I46">
        <v>46</v>
      </c>
      <c r="J46" s="3">
        <v>1.5</v>
      </c>
    </row>
    <row r="47" spans="1:13" x14ac:dyDescent="0.2">
      <c r="A47" s="73" t="s">
        <v>8</v>
      </c>
      <c r="B47" t="s">
        <v>20</v>
      </c>
      <c r="C47" s="11">
        <v>7.0000000000000007E-2</v>
      </c>
      <c r="I47">
        <v>47</v>
      </c>
      <c r="J47" s="3">
        <v>1.5</v>
      </c>
    </row>
    <row r="48" spans="1:13" x14ac:dyDescent="0.2">
      <c r="A48" s="73" t="s">
        <v>8</v>
      </c>
      <c r="B48" t="s">
        <v>21</v>
      </c>
      <c r="C48" s="11">
        <v>0.01</v>
      </c>
      <c r="G48" s="186"/>
      <c r="I48">
        <v>48</v>
      </c>
      <c r="J48" s="3">
        <v>1.5</v>
      </c>
    </row>
    <row r="49" spans="1:12" x14ac:dyDescent="0.2">
      <c r="A49" s="74" t="s">
        <v>568</v>
      </c>
      <c r="B49" s="74"/>
      <c r="C49" s="75"/>
      <c r="D49" s="74"/>
      <c r="E49" s="74"/>
      <c r="F49" s="74"/>
      <c r="G49" s="74"/>
      <c r="I49">
        <v>49</v>
      </c>
      <c r="J49" s="3">
        <v>1.5</v>
      </c>
    </row>
    <row r="50" spans="1:12" x14ac:dyDescent="0.2">
      <c r="A50" s="73" t="s">
        <v>8</v>
      </c>
      <c r="B50" t="s">
        <v>22</v>
      </c>
      <c r="C50" s="11">
        <v>3.5000000000000003E-2</v>
      </c>
      <c r="I50">
        <v>50</v>
      </c>
      <c r="J50" s="3">
        <v>1.5</v>
      </c>
      <c r="L50">
        <f>267.87+5.37</f>
        <v>273.24</v>
      </c>
    </row>
    <row r="51" spans="1:12" x14ac:dyDescent="0.2">
      <c r="A51" s="73" t="s">
        <v>8</v>
      </c>
      <c r="B51" t="s">
        <v>23</v>
      </c>
      <c r="C51" s="11">
        <v>6.0000000000000001E-3</v>
      </c>
      <c r="I51">
        <v>51</v>
      </c>
      <c r="J51" s="3">
        <v>1.5</v>
      </c>
    </row>
    <row r="52" spans="1:12" ht="12" customHeight="1" x14ac:dyDescent="0.2">
      <c r="A52" s="73" t="s">
        <v>8</v>
      </c>
      <c r="B52" t="s">
        <v>24</v>
      </c>
      <c r="C52" s="11">
        <v>5.3999999999999999E-2</v>
      </c>
      <c r="G52" s="186"/>
      <c r="I52">
        <v>52</v>
      </c>
      <c r="J52" s="3">
        <v>1.5</v>
      </c>
    </row>
    <row r="53" spans="1:12" ht="12.75" customHeight="1" x14ac:dyDescent="0.2">
      <c r="A53" s="74" t="s">
        <v>568</v>
      </c>
      <c r="B53" s="74"/>
      <c r="C53" s="75"/>
      <c r="D53" s="74"/>
      <c r="E53" s="74"/>
      <c r="F53" s="74"/>
      <c r="G53" s="74"/>
      <c r="I53">
        <v>53</v>
      </c>
      <c r="J53" s="3">
        <v>1.5</v>
      </c>
    </row>
    <row r="54" spans="1:12" ht="12.75" customHeight="1" x14ac:dyDescent="0.2">
      <c r="A54" s="73" t="s">
        <v>8</v>
      </c>
      <c r="B54" t="s">
        <v>25</v>
      </c>
      <c r="C54" s="4">
        <v>0.5</v>
      </c>
      <c r="G54" s="186"/>
    </row>
    <row r="55" spans="1:12" ht="12.75" customHeight="1" x14ac:dyDescent="0.2">
      <c r="A55" s="74" t="s">
        <v>568</v>
      </c>
      <c r="B55" s="74"/>
      <c r="C55" s="75"/>
      <c r="D55" s="74"/>
      <c r="E55" s="74"/>
      <c r="F55" s="74"/>
      <c r="G55" s="74"/>
    </row>
    <row r="56" spans="1:12" ht="12.75" customHeight="1" x14ac:dyDescent="0.2">
      <c r="A56" s="73" t="s">
        <v>4</v>
      </c>
      <c r="B56" s="73" t="s">
        <v>577</v>
      </c>
      <c r="C56" s="8">
        <v>-1270.1600000000001</v>
      </c>
    </row>
    <row r="57" spans="1:12" ht="12.75" customHeight="1" x14ac:dyDescent="0.2">
      <c r="A57" s="73" t="s">
        <v>4</v>
      </c>
      <c r="B57" t="s">
        <v>572</v>
      </c>
      <c r="C57" s="8">
        <v>-7026</v>
      </c>
    </row>
    <row r="58" spans="1:12" ht="12.75" customHeight="1" x14ac:dyDescent="0.2">
      <c r="A58" s="73" t="s">
        <v>4</v>
      </c>
      <c r="B58" t="s">
        <v>772</v>
      </c>
      <c r="C58" s="194">
        <v>0.1</v>
      </c>
      <c r="I58" s="155">
        <f>+C32/15</f>
        <v>1558.518</v>
      </c>
    </row>
    <row r="59" spans="1:12" ht="12.75" customHeight="1" x14ac:dyDescent="0.2">
      <c r="A59" s="73"/>
      <c r="B59" s="73" t="s">
        <v>828</v>
      </c>
      <c r="C59" s="207">
        <v>25000</v>
      </c>
      <c r="I59" s="155"/>
    </row>
    <row r="60" spans="1:12" ht="12.75" customHeight="1" x14ac:dyDescent="0.2">
      <c r="A60" s="73" t="s">
        <v>8</v>
      </c>
      <c r="B60" s="73" t="s">
        <v>773</v>
      </c>
      <c r="C60" s="194">
        <v>0</v>
      </c>
      <c r="I60" s="3"/>
    </row>
    <row r="61" spans="1:12" ht="12.75" customHeight="1" x14ac:dyDescent="0.2">
      <c r="A61" s="73" t="s">
        <v>8</v>
      </c>
      <c r="B61" t="s">
        <v>774</v>
      </c>
      <c r="C61" s="194">
        <v>0.81499999999999995</v>
      </c>
      <c r="I61" s="3"/>
    </row>
    <row r="62" spans="1:12" ht="12.75" customHeight="1" x14ac:dyDescent="0.2">
      <c r="A62" s="73" t="s">
        <v>568</v>
      </c>
      <c r="B62" t="s">
        <v>568</v>
      </c>
      <c r="C62" t="s">
        <v>568</v>
      </c>
      <c r="D62" t="s">
        <v>568</v>
      </c>
      <c r="I62" s="3"/>
    </row>
    <row r="63" spans="1:12" ht="12.75" customHeight="1" x14ac:dyDescent="0.2">
      <c r="A63" s="144" t="s">
        <v>4</v>
      </c>
      <c r="B63" s="144" t="s">
        <v>817</v>
      </c>
      <c r="C63" s="156">
        <f>C64*2</f>
        <v>6846.24</v>
      </c>
      <c r="D63">
        <v>108</v>
      </c>
      <c r="F63" s="144" t="s">
        <v>817</v>
      </c>
    </row>
    <row r="64" spans="1:12" x14ac:dyDescent="0.2">
      <c r="A64" s="144" t="s">
        <v>4</v>
      </c>
      <c r="B64" s="144" t="s">
        <v>818</v>
      </c>
      <c r="C64" s="156">
        <v>3423.12</v>
      </c>
      <c r="F64" s="144" t="s">
        <v>818</v>
      </c>
    </row>
    <row r="65" spans="1:6" x14ac:dyDescent="0.2">
      <c r="A65" s="144" t="s">
        <v>4</v>
      </c>
      <c r="B65" s="144" t="s">
        <v>782</v>
      </c>
      <c r="C65" s="156">
        <v>6651.37</v>
      </c>
      <c r="D65">
        <v>109</v>
      </c>
      <c r="F65" s="144" t="s">
        <v>782</v>
      </c>
    </row>
    <row r="66" spans="1:6" x14ac:dyDescent="0.2">
      <c r="A66" s="144" t="s">
        <v>4</v>
      </c>
      <c r="B66" s="146" t="s">
        <v>783</v>
      </c>
      <c r="C66" s="156">
        <v>157063.19</v>
      </c>
      <c r="D66">
        <v>110</v>
      </c>
      <c r="F66" s="146" t="s">
        <v>783</v>
      </c>
    </row>
    <row r="67" spans="1:6" x14ac:dyDescent="0.2">
      <c r="A67" s="144" t="s">
        <v>4</v>
      </c>
      <c r="B67" s="146" t="s">
        <v>784</v>
      </c>
      <c r="C67" s="93">
        <v>159756.76</v>
      </c>
      <c r="D67">
        <v>111</v>
      </c>
      <c r="F67" s="146" t="s">
        <v>784</v>
      </c>
    </row>
    <row r="68" spans="1:6" ht="12.75" customHeight="1" x14ac:dyDescent="0.2">
      <c r="A68" s="144" t="s">
        <v>4</v>
      </c>
      <c r="B68" s="146" t="s">
        <v>789</v>
      </c>
      <c r="C68" s="93">
        <v>162133.53</v>
      </c>
      <c r="D68">
        <v>112</v>
      </c>
      <c r="F68" s="146" t="s">
        <v>789</v>
      </c>
    </row>
    <row r="69" spans="1:6" ht="12.75" customHeight="1" x14ac:dyDescent="0.2">
      <c r="A69" s="144" t="s">
        <v>4</v>
      </c>
      <c r="B69" s="146" t="s">
        <v>785</v>
      </c>
      <c r="C69" s="93">
        <v>169940.3</v>
      </c>
      <c r="D69">
        <v>113</v>
      </c>
      <c r="F69" s="146" t="s">
        <v>785</v>
      </c>
    </row>
    <row r="70" spans="1:6" ht="12.75" customHeight="1" x14ac:dyDescent="0.2">
      <c r="A70" s="144" t="s">
        <v>4</v>
      </c>
      <c r="B70" s="144" t="s">
        <v>786</v>
      </c>
      <c r="C70" s="93">
        <v>172633.88</v>
      </c>
      <c r="D70">
        <v>114</v>
      </c>
      <c r="F70" s="144" t="s">
        <v>786</v>
      </c>
    </row>
    <row r="71" spans="1:6" ht="12.75" customHeight="1" x14ac:dyDescent="0.2">
      <c r="A71" s="144" t="s">
        <v>4</v>
      </c>
      <c r="B71" s="146" t="s">
        <v>825</v>
      </c>
      <c r="C71" s="93">
        <v>195131.99</v>
      </c>
      <c r="D71">
        <v>115</v>
      </c>
      <c r="F71" s="146" t="s">
        <v>787</v>
      </c>
    </row>
    <row r="72" spans="1:6" ht="12.75" customHeight="1" x14ac:dyDescent="0.2">
      <c r="A72" s="144" t="s">
        <v>4</v>
      </c>
      <c r="B72" s="146" t="s">
        <v>824</v>
      </c>
      <c r="C72" s="156">
        <v>195448.73</v>
      </c>
      <c r="D72">
        <v>116</v>
      </c>
      <c r="F72" s="146" t="s">
        <v>788</v>
      </c>
    </row>
    <row r="73" spans="1:6" ht="12.75" customHeight="1" x14ac:dyDescent="0.2">
      <c r="A73" s="144" t="s">
        <v>4</v>
      </c>
      <c r="B73" s="146" t="s">
        <v>790</v>
      </c>
      <c r="C73" s="8">
        <v>198577.36</v>
      </c>
      <c r="D73">
        <v>117</v>
      </c>
      <c r="F73" s="146" t="s">
        <v>790</v>
      </c>
    </row>
    <row r="74" spans="1:6" ht="12.75" customHeight="1" x14ac:dyDescent="0.2">
      <c r="A74" s="144" t="s">
        <v>4</v>
      </c>
      <c r="B74" s="146" t="s">
        <v>823</v>
      </c>
      <c r="C74" s="93">
        <v>201666.88</v>
      </c>
      <c r="D74">
        <v>118</v>
      </c>
      <c r="F74" s="146" t="s">
        <v>791</v>
      </c>
    </row>
    <row r="75" spans="1:6" ht="12.75" customHeight="1" x14ac:dyDescent="0.2">
      <c r="A75" s="73" t="s">
        <v>4</v>
      </c>
      <c r="B75" s="146" t="s">
        <v>792</v>
      </c>
      <c r="C75" s="93">
        <v>204360.45</v>
      </c>
      <c r="D75">
        <v>119</v>
      </c>
      <c r="F75" s="146" t="s">
        <v>792</v>
      </c>
    </row>
    <row r="76" spans="1:6" ht="12.75" customHeight="1" x14ac:dyDescent="0.2">
      <c r="A76" s="144" t="s">
        <v>4</v>
      </c>
      <c r="B76" s="146" t="s">
        <v>793</v>
      </c>
      <c r="C76" s="93">
        <v>209141.1</v>
      </c>
      <c r="D76">
        <v>120</v>
      </c>
      <c r="F76" s="146" t="s">
        <v>793</v>
      </c>
    </row>
    <row r="77" spans="1:6" ht="12.75" customHeight="1" x14ac:dyDescent="0.2">
      <c r="A77" s="73" t="s">
        <v>4</v>
      </c>
      <c r="B77" s="146" t="s">
        <v>794</v>
      </c>
      <c r="C77" s="93">
        <v>214543.99</v>
      </c>
      <c r="D77">
        <v>121</v>
      </c>
      <c r="F77" s="146" t="s">
        <v>794</v>
      </c>
    </row>
    <row r="78" spans="1:6" ht="12.75" customHeight="1" x14ac:dyDescent="0.2">
      <c r="A78" s="73" t="s">
        <v>4</v>
      </c>
      <c r="B78" s="146" t="s">
        <v>795</v>
      </c>
      <c r="C78" s="93">
        <v>217237.58</v>
      </c>
      <c r="D78">
        <v>122</v>
      </c>
      <c r="F78" s="146" t="s">
        <v>795</v>
      </c>
    </row>
    <row r="79" spans="1:6" ht="12.75" customHeight="1" x14ac:dyDescent="0.2">
      <c r="A79" s="73" t="s">
        <v>4</v>
      </c>
      <c r="B79" s="146" t="s">
        <v>822</v>
      </c>
      <c r="C79" s="93">
        <v>225525.04</v>
      </c>
      <c r="D79">
        <v>123</v>
      </c>
      <c r="F79" s="146" t="s">
        <v>796</v>
      </c>
    </row>
    <row r="80" spans="1:6" ht="12.75" customHeight="1" x14ac:dyDescent="0.2">
      <c r="A80" s="144" t="s">
        <v>4</v>
      </c>
      <c r="B80" s="146" t="s">
        <v>797</v>
      </c>
      <c r="C80" s="93">
        <v>238402.15</v>
      </c>
      <c r="D80">
        <v>124</v>
      </c>
      <c r="F80" s="146" t="s">
        <v>797</v>
      </c>
    </row>
    <row r="81" spans="1:6" ht="12.75" customHeight="1" x14ac:dyDescent="0.2">
      <c r="A81" s="73" t="s">
        <v>4</v>
      </c>
      <c r="B81" s="146" t="s">
        <v>798</v>
      </c>
      <c r="C81" s="93">
        <v>239735.67999999999</v>
      </c>
      <c r="D81">
        <v>125</v>
      </c>
      <c r="F81" s="146" t="s">
        <v>798</v>
      </c>
    </row>
    <row r="82" spans="1:6" ht="12.75" customHeight="1" x14ac:dyDescent="0.2">
      <c r="A82" s="73" t="s">
        <v>4</v>
      </c>
      <c r="B82" s="146" t="s">
        <v>799</v>
      </c>
      <c r="C82" s="93">
        <v>240052.44</v>
      </c>
      <c r="D82">
        <v>126</v>
      </c>
      <c r="F82" s="146" t="s">
        <v>799</v>
      </c>
    </row>
    <row r="83" spans="1:6" ht="12.75" customHeight="1" x14ac:dyDescent="0.2">
      <c r="A83" s="73" t="s">
        <v>4</v>
      </c>
      <c r="B83" s="146" t="s">
        <v>800</v>
      </c>
      <c r="C83" s="93">
        <v>253744.8</v>
      </c>
      <c r="D83">
        <v>127</v>
      </c>
      <c r="F83" s="146" t="s">
        <v>800</v>
      </c>
    </row>
    <row r="84" spans="1:6" ht="12.75" customHeight="1" x14ac:dyDescent="0.2">
      <c r="A84" s="73" t="s">
        <v>4</v>
      </c>
      <c r="B84" s="146" t="s">
        <v>801</v>
      </c>
      <c r="C84" s="93">
        <v>258468.59</v>
      </c>
      <c r="D84">
        <v>128</v>
      </c>
      <c r="F84" s="146" t="s">
        <v>801</v>
      </c>
    </row>
    <row r="85" spans="1:6" ht="12.75" customHeight="1" x14ac:dyDescent="0.2">
      <c r="A85" s="144" t="s">
        <v>4</v>
      </c>
      <c r="B85" s="146" t="s">
        <v>802</v>
      </c>
      <c r="C85" s="93">
        <v>263910.59000000003</v>
      </c>
      <c r="D85">
        <v>129</v>
      </c>
      <c r="F85" s="146" t="s">
        <v>802</v>
      </c>
    </row>
    <row r="86" spans="1:6" ht="12.75" customHeight="1" x14ac:dyDescent="0.2">
      <c r="A86" s="73" t="s">
        <v>4</v>
      </c>
      <c r="B86" s="146" t="s">
        <v>803</v>
      </c>
      <c r="C86" s="93">
        <v>267039.21000000002</v>
      </c>
      <c r="D86">
        <v>130</v>
      </c>
      <c r="F86" s="146" t="s">
        <v>803</v>
      </c>
    </row>
    <row r="87" spans="1:6" ht="12.75" customHeight="1" x14ac:dyDescent="0.2">
      <c r="A87" s="73" t="s">
        <v>4</v>
      </c>
      <c r="B87" s="146" t="s">
        <v>821</v>
      </c>
      <c r="C87" s="93">
        <v>270128.75</v>
      </c>
      <c r="D87">
        <v>131</v>
      </c>
      <c r="F87" s="146" t="s">
        <v>821</v>
      </c>
    </row>
    <row r="88" spans="1:6" ht="12.75" customHeight="1" x14ac:dyDescent="0.2">
      <c r="A88" s="73" t="s">
        <v>4</v>
      </c>
      <c r="B88" s="146" t="s">
        <v>804</v>
      </c>
      <c r="C88" s="93">
        <v>308197.53999999998</v>
      </c>
      <c r="D88">
        <v>132</v>
      </c>
      <c r="F88" s="146" t="s">
        <v>804</v>
      </c>
    </row>
    <row r="89" spans="1:6" ht="12.75" customHeight="1" x14ac:dyDescent="0.2">
      <c r="A89" s="73" t="s">
        <v>4</v>
      </c>
      <c r="B89" s="146" t="s">
        <v>805</v>
      </c>
      <c r="C89" s="93">
        <v>308514.28999999998</v>
      </c>
      <c r="D89">
        <v>133</v>
      </c>
      <c r="F89" s="146" t="s">
        <v>805</v>
      </c>
    </row>
    <row r="90" spans="1:6" ht="12.75" customHeight="1" x14ac:dyDescent="0.2">
      <c r="A90" s="73" t="s">
        <v>4</v>
      </c>
      <c r="B90" s="146" t="s">
        <v>806</v>
      </c>
      <c r="C90" s="93">
        <v>362892.97</v>
      </c>
      <c r="D90">
        <v>134</v>
      </c>
      <c r="F90" s="146" t="s">
        <v>806</v>
      </c>
    </row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7" spans="9:12" x14ac:dyDescent="0.2">
      <c r="I97" s="156"/>
      <c r="J97" s="8" t="e">
        <f>53359.19-#REF!</f>
        <v>#REF!</v>
      </c>
      <c r="K97" t="e">
        <f>+J97/2</f>
        <v>#REF!</v>
      </c>
    </row>
    <row r="98" spans="9:12" x14ac:dyDescent="0.2">
      <c r="I98" s="156"/>
      <c r="J98" t="e">
        <f>#REF!*1.139</f>
        <v>#REF!</v>
      </c>
      <c r="K98" s="8" t="e">
        <f>+#REF!-J98</f>
        <v>#REF!</v>
      </c>
    </row>
    <row r="99" spans="9:12" x14ac:dyDescent="0.2">
      <c r="I99" s="156"/>
      <c r="J99" t="e">
        <f>+#REF!/2</f>
        <v>#REF!</v>
      </c>
    </row>
    <row r="100" spans="9:12" x14ac:dyDescent="0.2">
      <c r="I100" s="156"/>
      <c r="K100" t="e">
        <f>+#REF!*5</f>
        <v>#REF!</v>
      </c>
    </row>
    <row r="101" spans="9:12" x14ac:dyDescent="0.2">
      <c r="I101" s="156"/>
      <c r="J101" t="e">
        <f>#REF!*1.139</f>
        <v>#REF!</v>
      </c>
    </row>
    <row r="102" spans="9:12" x14ac:dyDescent="0.2">
      <c r="I102" s="156"/>
      <c r="J102" t="e">
        <f>#REF!*1.139</f>
        <v>#REF!</v>
      </c>
      <c r="K102" t="e">
        <f>+J102*2</f>
        <v>#REF!</v>
      </c>
    </row>
    <row r="110" spans="9:12" x14ac:dyDescent="0.2">
      <c r="J110" s="156">
        <v>6113.74</v>
      </c>
      <c r="K110" s="206">
        <f t="shared" ref="K110:K111" si="0">J110*L110</f>
        <v>6679.260963677656</v>
      </c>
      <c r="L110">
        <v>1.0925000022371996</v>
      </c>
    </row>
    <row r="111" spans="9:12" x14ac:dyDescent="0.2">
      <c r="J111" s="156">
        <v>3056.87</v>
      </c>
      <c r="K111" s="206">
        <f t="shared" si="0"/>
        <v>3339.630481838828</v>
      </c>
      <c r="L111">
        <v>1.0925000022371996</v>
      </c>
    </row>
    <row r="112" spans="9:12" x14ac:dyDescent="0.2">
      <c r="J112" s="156">
        <v>5939.72</v>
      </c>
      <c r="K112" s="206">
        <f>J112*L112</f>
        <v>6489.1441132883392</v>
      </c>
      <c r="L112">
        <v>1.0925000022371996</v>
      </c>
    </row>
    <row r="113" spans="10:12" x14ac:dyDescent="0.2">
      <c r="J113" s="156">
        <v>140258.47</v>
      </c>
      <c r="K113" s="206">
        <f t="shared" ref="K113:K137" si="1">J113*L113</f>
        <v>153232.37878878618</v>
      </c>
      <c r="L113">
        <v>1.0925000022371996</v>
      </c>
    </row>
    <row r="114" spans="10:12" x14ac:dyDescent="0.2">
      <c r="J114" s="93">
        <v>142663.84</v>
      </c>
      <c r="K114" s="206">
        <f t="shared" si="1"/>
        <v>155860.24551916748</v>
      </c>
      <c r="L114">
        <v>1.0925000022371996</v>
      </c>
    </row>
    <row r="115" spans="10:12" x14ac:dyDescent="0.2">
      <c r="J115" s="93">
        <v>144786.32</v>
      </c>
      <c r="K115" s="206">
        <f t="shared" si="1"/>
        <v>158179.05492391589</v>
      </c>
      <c r="L115">
        <v>1.0925000022371996</v>
      </c>
    </row>
    <row r="116" spans="10:12" x14ac:dyDescent="0.2">
      <c r="J116" s="93">
        <v>151757.81</v>
      </c>
      <c r="K116" s="206">
        <f t="shared" si="1"/>
        <v>165795.40776451249</v>
      </c>
      <c r="L116">
        <v>1.0925000022371996</v>
      </c>
    </row>
    <row r="117" spans="10:12" x14ac:dyDescent="0.2">
      <c r="J117" s="93">
        <v>154163.20000000001</v>
      </c>
      <c r="K117" s="206">
        <f t="shared" si="1"/>
        <v>168423.29634489387</v>
      </c>
      <c r="L117">
        <v>1.0925000022371996</v>
      </c>
    </row>
    <row r="118" spans="10:12" x14ac:dyDescent="0.2">
      <c r="J118" s="93">
        <v>174254.16</v>
      </c>
      <c r="K118" s="206">
        <f t="shared" si="1"/>
        <v>190372.67018984133</v>
      </c>
      <c r="L118">
        <v>1.0925000022371996</v>
      </c>
    </row>
    <row r="119" spans="10:12" x14ac:dyDescent="0.2">
      <c r="J119" s="156">
        <v>174537.02</v>
      </c>
      <c r="K119" s="206">
        <f t="shared" si="1"/>
        <v>190681.69474047414</v>
      </c>
      <c r="L119">
        <v>1.0925000022371996</v>
      </c>
    </row>
    <row r="120" spans="10:12" x14ac:dyDescent="0.2">
      <c r="J120" s="8">
        <v>177330.9</v>
      </c>
      <c r="K120" s="206">
        <f t="shared" si="1"/>
        <v>193734.0086467246</v>
      </c>
      <c r="L120">
        <v>1.0925000022371996</v>
      </c>
    </row>
    <row r="121" spans="10:12" x14ac:dyDescent="0.2">
      <c r="J121" s="93">
        <v>180089.87</v>
      </c>
      <c r="K121" s="206">
        <f t="shared" si="1"/>
        <v>196748.18337789696</v>
      </c>
      <c r="L121">
        <v>1.0925000022371996</v>
      </c>
    </row>
    <row r="122" spans="10:12" x14ac:dyDescent="0.2">
      <c r="J122" s="93">
        <v>182495.24</v>
      </c>
      <c r="K122" s="206">
        <f t="shared" si="1"/>
        <v>199376.05010827826</v>
      </c>
      <c r="L122">
        <v>1.0925000022371996</v>
      </c>
    </row>
    <row r="123" spans="10:12" x14ac:dyDescent="0.2">
      <c r="J123" s="93">
        <v>186764.39</v>
      </c>
      <c r="K123" s="206">
        <f t="shared" si="1"/>
        <v>204040.09649282924</v>
      </c>
      <c r="L123">
        <v>1.0925000022371996</v>
      </c>
    </row>
    <row r="124" spans="10:12" x14ac:dyDescent="0.2">
      <c r="J124" s="93">
        <v>191589.21</v>
      </c>
      <c r="K124" s="206">
        <f t="shared" si="1"/>
        <v>209311.2123536233</v>
      </c>
      <c r="L124">
        <v>1.0925000022371996</v>
      </c>
    </row>
    <row r="125" spans="10:12" x14ac:dyDescent="0.2">
      <c r="J125" s="93">
        <v>193994.6</v>
      </c>
      <c r="K125" s="206">
        <f t="shared" si="1"/>
        <v>211939.10093400464</v>
      </c>
      <c r="L125">
        <v>1.0925000022371996</v>
      </c>
    </row>
    <row r="126" spans="10:12" x14ac:dyDescent="0.2">
      <c r="J126" s="93">
        <v>201395.36</v>
      </c>
      <c r="K126" s="206">
        <f t="shared" si="1"/>
        <v>220024.43125056158</v>
      </c>
      <c r="L126">
        <v>1.0925000022371996</v>
      </c>
    </row>
    <row r="127" spans="10:12" x14ac:dyDescent="0.2">
      <c r="J127" s="93">
        <v>212894.7</v>
      </c>
      <c r="K127" s="206">
        <f t="shared" si="1"/>
        <v>232587.46022628795</v>
      </c>
      <c r="L127">
        <v>1.0925000022371996</v>
      </c>
    </row>
    <row r="128" spans="10:12" x14ac:dyDescent="0.2">
      <c r="J128" s="93">
        <v>214085.56</v>
      </c>
      <c r="K128" s="206">
        <f t="shared" si="1"/>
        <v>233888.47477895211</v>
      </c>
      <c r="L128">
        <v>1.0925000022371996</v>
      </c>
    </row>
    <row r="129" spans="10:13" x14ac:dyDescent="0.2">
      <c r="J129" s="93">
        <v>214368.42</v>
      </c>
      <c r="K129" s="206">
        <f t="shared" si="1"/>
        <v>234197.49932958494</v>
      </c>
      <c r="L129">
        <v>1.0925000022371996</v>
      </c>
    </row>
    <row r="130" spans="10:13" x14ac:dyDescent="0.2">
      <c r="J130" s="93">
        <v>226595.79</v>
      </c>
      <c r="K130" s="206">
        <f t="shared" si="1"/>
        <v>247555.90108194001</v>
      </c>
      <c r="L130">
        <v>1.0925000022371996</v>
      </c>
    </row>
    <row r="131" spans="10:13" x14ac:dyDescent="0.2">
      <c r="J131" s="93">
        <v>230814.17</v>
      </c>
      <c r="K131" s="206">
        <f t="shared" si="1"/>
        <v>252164.48124137736</v>
      </c>
      <c r="L131">
        <v>1.0925000022371996</v>
      </c>
    </row>
    <row r="132" spans="10:13" x14ac:dyDescent="0.2">
      <c r="J132" s="93">
        <v>235673.91</v>
      </c>
      <c r="K132" s="206">
        <f t="shared" si="1"/>
        <v>257473.74720224956</v>
      </c>
      <c r="L132">
        <v>1.0925000022371996</v>
      </c>
    </row>
    <row r="133" spans="10:13" x14ac:dyDescent="0.2">
      <c r="J133" s="93">
        <v>238467.79</v>
      </c>
      <c r="K133" s="206">
        <f t="shared" si="1"/>
        <v>260526.06110850006</v>
      </c>
      <c r="L133">
        <v>1.0925000022371996</v>
      </c>
    </row>
    <row r="134" spans="10:13" x14ac:dyDescent="0.2">
      <c r="J134" s="93">
        <v>241226.76</v>
      </c>
      <c r="K134" s="206">
        <f t="shared" si="1"/>
        <v>263540.23583967239</v>
      </c>
      <c r="L134">
        <v>1.0925000022371996</v>
      </c>
    </row>
    <row r="135" spans="10:13" x14ac:dyDescent="0.2">
      <c r="J135" s="93">
        <v>275222.45</v>
      </c>
      <c r="K135" s="206">
        <f t="shared" si="1"/>
        <v>300680.52724072756</v>
      </c>
      <c r="L135">
        <v>1.0925000022371996</v>
      </c>
      <c r="M135">
        <f>J135*L135</f>
        <v>300680.52724072756</v>
      </c>
    </row>
    <row r="136" spans="10:13" x14ac:dyDescent="0.2">
      <c r="J136" s="93">
        <v>275505.31</v>
      </c>
      <c r="K136" s="206">
        <f t="shared" si="1"/>
        <v>300989.55179136037</v>
      </c>
      <c r="L136">
        <v>1.0925000022371996</v>
      </c>
      <c r="M136">
        <f t="shared" ref="M136:M137" si="2">J136*L136</f>
        <v>300989.55179136037</v>
      </c>
    </row>
    <row r="137" spans="10:13" x14ac:dyDescent="0.2">
      <c r="J137" s="93">
        <v>324065.83</v>
      </c>
      <c r="K137" s="206">
        <f t="shared" si="1"/>
        <v>354041.91999999993</v>
      </c>
      <c r="L137">
        <v>1.0925000022371996</v>
      </c>
      <c r="M137">
        <f t="shared" si="2"/>
        <v>354041.91999999993</v>
      </c>
    </row>
    <row r="138" spans="10:13" x14ac:dyDescent="0.2">
      <c r="J138" s="9"/>
    </row>
  </sheetData>
  <autoFilter ref="A62:D90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32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ColWidth="9.140625" defaultRowHeight="12.75" x14ac:dyDescent="0.2"/>
  <cols>
    <col min="1" max="1" width="4.7109375" style="101" customWidth="1"/>
    <col min="2" max="2" width="3.7109375" style="101" hidden="1" customWidth="1"/>
    <col min="3" max="3" width="3.7109375" style="95" hidden="1" customWidth="1"/>
    <col min="4" max="4" width="29.28515625" style="101" customWidth="1"/>
    <col min="5" max="5" width="4.85546875" style="172" hidden="1" customWidth="1"/>
    <col min="6" max="6" width="8.140625" style="116" customWidth="1"/>
    <col min="7" max="7" width="5.140625" style="174" hidden="1" customWidth="1"/>
    <col min="8" max="8" width="8.28515625" style="104" customWidth="1"/>
    <col min="9" max="9" width="5" style="103" hidden="1" customWidth="1"/>
    <col min="10" max="10" width="7.7109375" style="97" customWidth="1"/>
    <col min="11" max="11" width="7.28515625" style="97" hidden="1" customWidth="1"/>
    <col min="12" max="12" width="7.7109375" style="97" customWidth="1"/>
    <col min="13" max="13" width="8.42578125" style="97" customWidth="1"/>
    <col min="14" max="14" width="7.85546875" style="97" customWidth="1"/>
    <col min="15" max="15" width="9.140625" style="97" customWidth="1"/>
    <col min="16" max="16" width="8.140625" style="97" customWidth="1"/>
    <col min="17" max="17" width="8.5703125" style="97" customWidth="1"/>
    <col min="18" max="18" width="8.140625" style="104" hidden="1" customWidth="1"/>
    <col min="19" max="19" width="7.140625" style="97" customWidth="1"/>
    <col min="20" max="20" width="7.7109375" style="97" customWidth="1"/>
    <col min="21" max="21" width="7.28515625" style="97" customWidth="1"/>
    <col min="22" max="22" width="7.42578125" style="97" hidden="1" customWidth="1"/>
    <col min="23" max="23" width="6.85546875" style="99" customWidth="1"/>
    <col min="24" max="24" width="7" style="99" customWidth="1"/>
    <col min="25" max="25" width="4" style="99" customWidth="1"/>
    <col min="26" max="26" width="8.140625" style="97" customWidth="1"/>
    <col min="27" max="27" width="9.7109375" style="105" hidden="1" customWidth="1"/>
    <col min="28" max="28" width="8" style="97" customWidth="1"/>
    <col min="29" max="29" width="9" style="97" customWidth="1"/>
    <col min="30" max="30" width="9.42578125" style="97" customWidth="1"/>
    <col min="31" max="32" width="9.42578125" style="99" customWidth="1"/>
    <col min="33" max="33" width="9.5703125" style="99" customWidth="1"/>
    <col min="34" max="34" width="7.28515625" style="97" customWidth="1"/>
    <col min="35" max="35" width="8.42578125" style="97" customWidth="1"/>
    <col min="36" max="36" width="8.7109375" style="97" customWidth="1"/>
    <col min="37" max="37" width="8" style="97" customWidth="1"/>
    <col min="38" max="38" width="7.85546875" style="97" customWidth="1"/>
    <col min="39" max="39" width="7.7109375" style="97" customWidth="1"/>
    <col min="40" max="40" width="8.140625" style="98" customWidth="1"/>
    <col min="41" max="41" width="9.7109375" style="98" customWidth="1"/>
    <col min="42" max="42" width="9.140625" style="98" customWidth="1"/>
    <col min="43" max="43" width="9.7109375" style="97" customWidth="1"/>
    <col min="44" max="47" width="9.7109375" style="98" customWidth="1"/>
    <col min="48" max="48" width="9.7109375" style="98" hidden="1" customWidth="1"/>
    <col min="49" max="50" width="7.85546875" style="98" customWidth="1"/>
    <col min="51" max="51" width="9.85546875" style="101" customWidth="1"/>
    <col min="52" max="52" width="4.7109375" style="101" customWidth="1"/>
    <col min="53" max="53" width="4.5703125" style="101" customWidth="1"/>
    <col min="54" max="54" width="4.28515625" style="101" customWidth="1"/>
    <col min="55" max="1018" width="11.42578125" style="101" customWidth="1"/>
    <col min="1019" max="16384" width="9.140625" style="102"/>
  </cols>
  <sheetData>
    <row r="1" spans="1:1023" ht="35.25" customHeight="1" x14ac:dyDescent="0.2">
      <c r="A1" s="210" t="str">
        <f ca="1">CONCATENATE(Valores!M16,"  ",Valores!M15)</f>
        <v>JUNIO  2024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96"/>
      <c r="AI1" s="96"/>
    </row>
    <row r="2" spans="1:1023" ht="11.25" customHeight="1" x14ac:dyDescent="0.2">
      <c r="A2" s="119" t="s">
        <v>26</v>
      </c>
      <c r="B2" s="119"/>
      <c r="C2" s="166"/>
      <c r="D2" s="119"/>
      <c r="E2" s="168"/>
      <c r="F2" s="201">
        <v>0</v>
      </c>
      <c r="G2" s="173"/>
      <c r="H2" s="123">
        <f>LOOKUP(F2,Valores!I:I,Valores!J:J)</f>
        <v>0</v>
      </c>
      <c r="I2" s="124"/>
      <c r="J2" s="117"/>
      <c r="K2" s="117"/>
      <c r="L2" s="158"/>
      <c r="M2" s="158"/>
      <c r="AE2" s="97"/>
      <c r="AF2" s="97"/>
      <c r="AG2" s="212"/>
      <c r="AJ2" s="215" t="s">
        <v>819</v>
      </c>
      <c r="AP2" s="215" t="s">
        <v>819</v>
      </c>
    </row>
    <row r="3" spans="1:1023" ht="11.25" customHeight="1" x14ac:dyDescent="0.25">
      <c r="A3" s="226" t="s">
        <v>575</v>
      </c>
      <c r="B3" s="227"/>
      <c r="C3" s="227"/>
      <c r="D3" s="228"/>
      <c r="E3" s="195"/>
      <c r="F3" s="204"/>
      <c r="G3" s="213" t="s">
        <v>27</v>
      </c>
      <c r="H3" s="213"/>
      <c r="I3" s="214">
        <f>Valores!C2</f>
        <v>97.805999999999997</v>
      </c>
      <c r="J3" s="214"/>
      <c r="K3" s="197"/>
      <c r="L3" s="157" t="e">
        <f>VLOOKUP(#REF!,Valores!L17:M28,2,)</f>
        <v>#REF!</v>
      </c>
      <c r="M3" s="157"/>
      <c r="N3" s="221" t="s">
        <v>776</v>
      </c>
      <c r="O3" s="221"/>
      <c r="P3" s="221"/>
      <c r="Q3" s="221"/>
      <c r="R3" s="221"/>
      <c r="S3" s="221"/>
      <c r="T3" s="221"/>
      <c r="U3" s="225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V3" s="225"/>
      <c r="W3" s="225"/>
      <c r="X3" s="225"/>
      <c r="Y3" s="225"/>
      <c r="Z3" s="225"/>
      <c r="AA3" s="225"/>
      <c r="AB3" s="225"/>
      <c r="AE3" s="106" t="s">
        <v>4</v>
      </c>
      <c r="AF3" s="107"/>
      <c r="AG3" s="212"/>
      <c r="AH3" s="106" t="s">
        <v>4</v>
      </c>
      <c r="AI3" s="107"/>
      <c r="AJ3" s="215"/>
      <c r="AK3" s="108"/>
      <c r="AL3" s="108"/>
      <c r="AM3" s="108"/>
      <c r="AN3" s="109"/>
      <c r="AO3" s="109"/>
      <c r="AP3" s="215"/>
      <c r="AQ3" s="108"/>
      <c r="AR3" s="109"/>
      <c r="AS3" s="109"/>
      <c r="AT3" s="109"/>
      <c r="AU3" s="109"/>
      <c r="AV3" s="109"/>
      <c r="AW3" s="109"/>
      <c r="AX3" s="109"/>
    </row>
    <row r="4" spans="1:1023" ht="11.25" customHeight="1" x14ac:dyDescent="0.25">
      <c r="A4" s="229"/>
      <c r="B4" s="230"/>
      <c r="C4" s="230"/>
      <c r="D4" s="231"/>
      <c r="E4" s="168"/>
      <c r="F4" s="202" t="s">
        <v>8</v>
      </c>
      <c r="U4" s="225"/>
      <c r="V4" s="225"/>
      <c r="W4" s="225"/>
      <c r="X4" s="225"/>
      <c r="Y4" s="225"/>
      <c r="Z4" s="225"/>
      <c r="AA4" s="225"/>
      <c r="AB4" s="225"/>
      <c r="AD4" s="73"/>
      <c r="AG4" s="110"/>
      <c r="AH4" s="106" t="s">
        <v>8</v>
      </c>
      <c r="AI4" s="107"/>
      <c r="AJ4" s="215"/>
      <c r="AK4" s="108"/>
      <c r="AL4" s="108"/>
      <c r="AM4" s="108"/>
      <c r="AN4" s="109"/>
      <c r="AO4" s="109"/>
      <c r="AP4" s="215"/>
      <c r="AQ4" s="108"/>
      <c r="AR4" s="109"/>
      <c r="AS4" s="109"/>
      <c r="AT4" s="109"/>
      <c r="AU4" s="109"/>
      <c r="AV4" s="109"/>
      <c r="AW4" s="109"/>
      <c r="AX4" s="109"/>
    </row>
    <row r="5" spans="1:1023" ht="11.25" customHeight="1" x14ac:dyDescent="0.25">
      <c r="A5" s="218" t="s">
        <v>570</v>
      </c>
      <c r="B5" s="219"/>
      <c r="C5" s="219"/>
      <c r="D5" s="220"/>
      <c r="E5" s="168"/>
      <c r="F5" s="203">
        <v>0</v>
      </c>
      <c r="H5" s="191" t="s">
        <v>752</v>
      </c>
      <c r="R5" s="97"/>
      <c r="T5" s="191" t="s">
        <v>752</v>
      </c>
      <c r="V5" s="191" t="s">
        <v>752</v>
      </c>
      <c r="W5" s="104"/>
      <c r="X5" s="191" t="s">
        <v>752</v>
      </c>
      <c r="Y5" s="97"/>
      <c r="AA5" s="97"/>
      <c r="AB5" s="99"/>
      <c r="AC5" s="99"/>
      <c r="AD5" s="99"/>
      <c r="AE5" s="97"/>
      <c r="AF5" s="105"/>
      <c r="AG5" s="208" t="s">
        <v>829</v>
      </c>
      <c r="AI5" s="99"/>
      <c r="AJ5" s="216"/>
      <c r="AK5" s="99"/>
      <c r="AL5" s="110"/>
      <c r="AM5" s="106"/>
      <c r="AN5" s="107"/>
      <c r="AO5" s="108"/>
      <c r="AP5" s="216"/>
      <c r="AQ5" s="108"/>
      <c r="AR5" s="108"/>
      <c r="AS5" s="109"/>
      <c r="AT5" s="109"/>
      <c r="AU5" s="109"/>
      <c r="AV5" s="108"/>
      <c r="AW5" s="109"/>
      <c r="AX5" s="109"/>
      <c r="AY5" s="109"/>
      <c r="AZ5" s="109"/>
      <c r="BA5" s="109"/>
      <c r="BB5" s="109"/>
      <c r="BC5" s="109"/>
      <c r="AME5" s="101"/>
      <c r="AMF5" s="101"/>
      <c r="AMG5" s="101"/>
      <c r="AMH5" s="101"/>
      <c r="AMI5" s="101"/>
    </row>
    <row r="6" spans="1:1023" s="132" customFormat="1" ht="48.75" customHeight="1" x14ac:dyDescent="0.2">
      <c r="A6" s="161"/>
      <c r="B6" s="162"/>
      <c r="C6" s="162"/>
      <c r="D6" s="161"/>
      <c r="E6" s="222" t="s">
        <v>28</v>
      </c>
      <c r="F6" s="223"/>
      <c r="G6" s="232" t="s">
        <v>811</v>
      </c>
      <c r="H6" s="233"/>
      <c r="I6" s="232" t="s">
        <v>812</v>
      </c>
      <c r="J6" s="233"/>
      <c r="K6" s="217" t="s">
        <v>29</v>
      </c>
      <c r="L6" s="217"/>
      <c r="M6" s="135" t="s">
        <v>30</v>
      </c>
      <c r="N6" s="136" t="s">
        <v>31</v>
      </c>
      <c r="O6" s="135" t="s">
        <v>807</v>
      </c>
      <c r="P6" s="150" t="str">
        <f>CONCATENATE("Est. Doc (tope ",TEXT(Valores!F5,"$0.000,00"),")")</f>
        <v>Est. Doc (tope $74.997,64)</v>
      </c>
      <c r="Q6" s="135" t="str">
        <f>CONCATENATE("Gtos. Inh. Lab. Doc. ")</f>
        <v xml:space="preserve">Gtos. Inh. Lab. Doc. </v>
      </c>
      <c r="R6" s="136" t="s">
        <v>33</v>
      </c>
      <c r="S6" s="135" t="s">
        <v>33</v>
      </c>
      <c r="T6" s="135" t="s">
        <v>34</v>
      </c>
      <c r="U6" s="135" t="s">
        <v>35</v>
      </c>
      <c r="V6" s="224" t="s">
        <v>36</v>
      </c>
      <c r="W6" s="224"/>
      <c r="X6" s="135" t="s">
        <v>37</v>
      </c>
      <c r="Y6" s="142" t="s">
        <v>636</v>
      </c>
      <c r="Z6" s="135" t="s">
        <v>38</v>
      </c>
      <c r="AA6" s="217" t="s">
        <v>39</v>
      </c>
      <c r="AB6" s="217"/>
      <c r="AC6" s="198" t="s">
        <v>809</v>
      </c>
      <c r="AD6" s="135" t="s">
        <v>772</v>
      </c>
      <c r="AE6" s="200" t="s">
        <v>40</v>
      </c>
      <c r="AF6" s="199" t="str">
        <f>CONCATENATE("Compensación Provincial Pérdida Incentivo Docente (tope ",TEXT(Valores!F13,"$0,00"),")")</f>
        <v>Compensación Provincial Pérdida Incentivo Docente (tope $72856,00)</v>
      </c>
      <c r="AG6" s="135" t="str">
        <f>CONCATENATE("Compl No Rem (tope ",TEXT(Valores!C59,"$0.000,00"),")",)</f>
        <v>Compl No Rem (tope $25.000,00)</v>
      </c>
      <c r="AH6" s="200" t="s">
        <v>41</v>
      </c>
      <c r="AI6" s="137" t="s">
        <v>42</v>
      </c>
      <c r="AJ6" s="137" t="s">
        <v>770</v>
      </c>
      <c r="AK6" s="137" t="s">
        <v>43</v>
      </c>
      <c r="AL6" s="137" t="s">
        <v>571</v>
      </c>
      <c r="AM6" s="137" t="s">
        <v>572</v>
      </c>
      <c r="AN6" s="142" t="s">
        <v>44</v>
      </c>
      <c r="AO6" s="137" t="str">
        <f>AI6</f>
        <v>Ap Pers Jub</v>
      </c>
      <c r="AP6" s="137" t="s">
        <v>770</v>
      </c>
      <c r="AQ6" s="137" t="s">
        <v>754</v>
      </c>
      <c r="AR6" s="137" t="s">
        <v>756</v>
      </c>
      <c r="AS6" s="142" t="s">
        <v>578</v>
      </c>
      <c r="AT6" s="137" t="s">
        <v>759</v>
      </c>
      <c r="AU6" s="137" t="s">
        <v>760</v>
      </c>
      <c r="AV6" s="193" t="s">
        <v>762</v>
      </c>
      <c r="AW6" s="193" t="s">
        <v>768</v>
      </c>
      <c r="AX6" s="137" t="s">
        <v>766</v>
      </c>
      <c r="AY6" s="137" t="s">
        <v>764</v>
      </c>
      <c r="AZ6" s="137" t="s">
        <v>45</v>
      </c>
      <c r="BA6" s="137" t="s">
        <v>46</v>
      </c>
      <c r="BB6" s="137" t="s">
        <v>47</v>
      </c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</row>
    <row r="7" spans="1:1023" s="130" customFormat="1" ht="12.75" customHeight="1" x14ac:dyDescent="0.2">
      <c r="A7" s="163" t="s">
        <v>48</v>
      </c>
      <c r="B7" s="164"/>
      <c r="C7" s="167" t="s">
        <v>602</v>
      </c>
      <c r="D7" s="165" t="s">
        <v>49</v>
      </c>
      <c r="E7" s="133" t="s">
        <v>50</v>
      </c>
      <c r="F7" s="134" t="s">
        <v>51</v>
      </c>
      <c r="G7" s="205" t="s">
        <v>813</v>
      </c>
      <c r="H7" s="134" t="s">
        <v>814</v>
      </c>
      <c r="I7" s="134" t="s">
        <v>815</v>
      </c>
      <c r="J7" s="134" t="s">
        <v>816</v>
      </c>
      <c r="K7" s="139" t="s">
        <v>52</v>
      </c>
      <c r="L7" s="138" t="s">
        <v>53</v>
      </c>
      <c r="M7" s="138" t="s">
        <v>54</v>
      </c>
      <c r="N7" s="138" t="s">
        <v>55</v>
      </c>
      <c r="O7" s="138" t="s">
        <v>808</v>
      </c>
      <c r="P7" s="138" t="s">
        <v>57</v>
      </c>
      <c r="Q7" s="138" t="s">
        <v>58</v>
      </c>
      <c r="R7" s="138" t="s">
        <v>59</v>
      </c>
      <c r="S7" s="138" t="s">
        <v>59</v>
      </c>
      <c r="T7" s="138" t="s">
        <v>60</v>
      </c>
      <c r="U7" s="138" t="s">
        <v>61</v>
      </c>
      <c r="V7" s="140" t="s">
        <v>62</v>
      </c>
      <c r="W7" s="138" t="s">
        <v>63</v>
      </c>
      <c r="X7" s="138" t="s">
        <v>64</v>
      </c>
      <c r="Y7" s="141"/>
      <c r="Z7" s="141" t="s">
        <v>65</v>
      </c>
      <c r="AA7" s="140" t="s">
        <v>66</v>
      </c>
      <c r="AB7" s="138" t="s">
        <v>67</v>
      </c>
      <c r="AC7" s="138" t="s">
        <v>810</v>
      </c>
      <c r="AD7" s="138" t="s">
        <v>775</v>
      </c>
      <c r="AE7" s="136" t="s">
        <v>68</v>
      </c>
      <c r="AF7" s="138" t="s">
        <v>778</v>
      </c>
      <c r="AG7" s="138" t="s">
        <v>830</v>
      </c>
      <c r="AH7" s="135" t="s">
        <v>69</v>
      </c>
      <c r="AI7" s="137" t="s">
        <v>70</v>
      </c>
      <c r="AJ7" s="137" t="s">
        <v>771</v>
      </c>
      <c r="AK7" s="138" t="s">
        <v>71</v>
      </c>
      <c r="AL7" s="143" t="s">
        <v>573</v>
      </c>
      <c r="AM7" s="143" t="s">
        <v>574</v>
      </c>
      <c r="AN7" s="136"/>
      <c r="AO7" s="137" t="str">
        <f t="shared" ref="AO7:AO70" si="0">AI7</f>
        <v>C660060</v>
      </c>
      <c r="AP7" s="137" t="s">
        <v>771</v>
      </c>
      <c r="AQ7" s="152" t="s">
        <v>755</v>
      </c>
      <c r="AR7" s="152" t="s">
        <v>757</v>
      </c>
      <c r="AS7" s="151"/>
      <c r="AT7" s="152" t="s">
        <v>758</v>
      </c>
      <c r="AU7" s="152" t="s">
        <v>761</v>
      </c>
      <c r="AV7" s="152" t="s">
        <v>763</v>
      </c>
      <c r="AW7" s="152" t="s">
        <v>769</v>
      </c>
      <c r="AX7" s="152" t="s">
        <v>767</v>
      </c>
      <c r="AY7" s="152" t="s">
        <v>765</v>
      </c>
      <c r="AZ7" s="131"/>
      <c r="BA7" s="131"/>
      <c r="BB7" s="131"/>
    </row>
    <row r="8" spans="1:1023" s="100" customFormat="1" ht="11.25" customHeight="1" x14ac:dyDescent="0.15">
      <c r="A8" s="111" t="s">
        <v>72</v>
      </c>
      <c r="B8" s="111">
        <v>1</v>
      </c>
      <c r="C8" s="114">
        <v>1</v>
      </c>
      <c r="D8" s="112" t="s">
        <v>73</v>
      </c>
      <c r="E8" s="169">
        <v>107</v>
      </c>
      <c r="F8" s="113">
        <f>ROUND(E8*Valores!$C$2,2)</f>
        <v>10465.24</v>
      </c>
      <c r="G8" s="169">
        <v>3779</v>
      </c>
      <c r="H8" s="113">
        <f>ROUND(G8*Valores!$C$2,2)</f>
        <v>369608.87</v>
      </c>
      <c r="I8" s="169">
        <v>219</v>
      </c>
      <c r="J8" s="113">
        <f>ROUND(I8*Valores!$C$2,2)</f>
        <v>21419.51</v>
      </c>
      <c r="K8" s="169">
        <v>0</v>
      </c>
      <c r="L8" s="113">
        <f>ROUND(K8*Valores!$C$2,2)</f>
        <v>0</v>
      </c>
      <c r="M8" s="113">
        <f>ROUND(IF($H$2=0,IF(AND(A8&lt;&gt;"13-930",A8&lt;&gt;"13-940"),(SUM(F8,H8,J8,L8,W8,S8,Q8)*Valores!$C$4),0),0),2)</f>
        <v>111012.57</v>
      </c>
      <c r="N8" s="113">
        <f>ROUND(SUM(F8,H8,J8,L8,W8,Q8)*$H$2,2)</f>
        <v>0</v>
      </c>
      <c r="O8" s="113">
        <f>Valores!C$67</f>
        <v>159756.76</v>
      </c>
      <c r="P8" s="113">
        <f>Valores!$D$5</f>
        <v>49998.43</v>
      </c>
      <c r="Q8" s="113">
        <f>IF($F$4="NO",Valores!$C$25,Valores!$C$25/2)</f>
        <v>42556.65</v>
      </c>
      <c r="R8" s="113">
        <v>0</v>
      </c>
      <c r="S8" s="113">
        <f>ROUND(R8*(1+$H$2),2)</f>
        <v>0</v>
      </c>
      <c r="T8" s="113">
        <f>F8+H8+J8</f>
        <v>401493.62</v>
      </c>
      <c r="U8" s="113">
        <f>T8*0.4</f>
        <v>160597.448</v>
      </c>
      <c r="V8" s="169">
        <v>0</v>
      </c>
      <c r="W8" s="113">
        <f>ROUND(V8*Valores!$C$2,2)</f>
        <v>0</v>
      </c>
      <c r="X8" s="113">
        <v>0</v>
      </c>
      <c r="Y8" s="188">
        <v>0</v>
      </c>
      <c r="Z8" s="113">
        <f>ROUND(SUM(F8,H8,J8,W8,Q8)*Y8,2)</f>
        <v>0</v>
      </c>
      <c r="AA8" s="169">
        <v>0</v>
      </c>
      <c r="AB8" s="113">
        <f>ROUND(AA8*Valores!$C$2,2)</f>
        <v>0</v>
      </c>
      <c r="AC8" s="113">
        <f>ROUND(IF($F$4="NO",Valores!$C$32,Valores!$C$32/2),2)</f>
        <v>23377.77</v>
      </c>
      <c r="AD8" s="113">
        <f>SUM(F8,H8,J8,L8,M8,N8,O8,P8,Q8,S8,T8,U8,W8,X8,Z8,AB8,AC8)*Valores!$C$58</f>
        <v>135028.6868</v>
      </c>
      <c r="AE8" s="113">
        <f>SUM(F8,H8,J8,L8,M8,N8,O8,P8,Q8,S8,T8,U8,W8,X8,Z8,AB8,AC8,AD8)</f>
        <v>1485315.5548</v>
      </c>
      <c r="AF8" s="113">
        <f>Valores!$C$12</f>
        <v>72856</v>
      </c>
      <c r="AG8" s="113">
        <f>Valores!$C$59</f>
        <v>25000</v>
      </c>
      <c r="AH8" s="113">
        <f t="shared" ref="AH8:AH71" si="1">SUM(AF8:AG8)</f>
        <v>97856</v>
      </c>
      <c r="AI8" s="113">
        <f>AE8*Valores!$C$39</f>
        <v>-163384.71102800002</v>
      </c>
      <c r="AJ8" s="113">
        <f>IF(AE8&lt;Valores!$E$40,-0.02,IF(AE8&lt;Valores!$F$40,-0.03,-0.04))*AE8</f>
        <v>-59412.622192000003</v>
      </c>
      <c r="AK8" s="113">
        <f>AE8*Valores!$C$42</f>
        <v>-81692.35551400001</v>
      </c>
      <c r="AL8" s="113">
        <f>Valores!$C$56</f>
        <v>-1270.1600000000001</v>
      </c>
      <c r="AM8" s="113">
        <f>IF($F$5=0,Valores!$C$57,(Valores!$C$57+$F$5*(Valores!$C$57)))</f>
        <v>-7026</v>
      </c>
      <c r="AN8" s="113">
        <f>AE8+AH8+SUM(AI8:AM8)</f>
        <v>1270385.706066</v>
      </c>
      <c r="AO8" s="113">
        <f t="shared" si="0"/>
        <v>-163384.71102800002</v>
      </c>
      <c r="AP8" s="113">
        <f>AJ8</f>
        <v>-59412.622192000003</v>
      </c>
      <c r="AQ8" s="113">
        <f>AE8*Valores!$C$43</f>
        <v>-40103.519979600002</v>
      </c>
      <c r="AR8" s="113">
        <f>AE8*Valores!$C$44</f>
        <v>-4455.9466644000004</v>
      </c>
      <c r="AS8" s="113">
        <f t="shared" ref="AS8:AS71" si="2">AE8+AH8+SUM(AO8:AR8)</f>
        <v>1315814.7549360001</v>
      </c>
      <c r="AT8" s="113">
        <f>AE8*Valores!$C$46</f>
        <v>237650.48876800001</v>
      </c>
      <c r="AU8" s="113">
        <f>AE8*Valores!$C$47</f>
        <v>103972.08883600001</v>
      </c>
      <c r="AV8" s="113">
        <f>AE8*Valores!$C$48</f>
        <v>14853.155548000001</v>
      </c>
      <c r="AW8" s="113">
        <f>AE8*Valores!$C$50</f>
        <v>51986.044418000005</v>
      </c>
      <c r="AX8" s="113">
        <f>AE8*Valores!$C$52</f>
        <v>80207.039959200003</v>
      </c>
      <c r="AY8" s="113">
        <f>AE8*Valores!$C$51</f>
        <v>8911.8933288000007</v>
      </c>
      <c r="AZ8" s="114">
        <v>33</v>
      </c>
      <c r="BA8" s="114">
        <v>45</v>
      </c>
      <c r="BB8" s="111" t="s">
        <v>8</v>
      </c>
    </row>
    <row r="9" spans="1:1023" s="100" customFormat="1" ht="11.25" customHeight="1" x14ac:dyDescent="0.15">
      <c r="A9" s="111" t="s">
        <v>74</v>
      </c>
      <c r="B9" s="111">
        <v>1</v>
      </c>
      <c r="C9" s="114">
        <v>2</v>
      </c>
      <c r="D9" s="112" t="s">
        <v>75</v>
      </c>
      <c r="E9" s="169">
        <v>107</v>
      </c>
      <c r="F9" s="113">
        <f>ROUND(E9*Valores!$C$2,2)</f>
        <v>10465.24</v>
      </c>
      <c r="G9" s="169">
        <v>3779</v>
      </c>
      <c r="H9" s="113">
        <f>ROUND(G9*Valores!$C$2,2)</f>
        <v>369608.87</v>
      </c>
      <c r="I9" s="169">
        <v>219</v>
      </c>
      <c r="J9" s="113">
        <f>ROUND(I9*Valores!$C$2,2)</f>
        <v>21419.51</v>
      </c>
      <c r="K9" s="169">
        <v>0</v>
      </c>
      <c r="L9" s="113">
        <f>ROUND(K9*Valores!$C$2,2)</f>
        <v>0</v>
      </c>
      <c r="M9" s="113">
        <f>ROUND(IF($H$2=0,IF(AND(A9&lt;&gt;"13-930",A9&lt;&gt;"13-940"),(SUM(F9,H9,J9,L9,W9,S9,Q9)*Valores!$C$4),0),0),2)</f>
        <v>111012.57</v>
      </c>
      <c r="N9" s="113">
        <f t="shared" ref="N9:N72" si="3">ROUND(SUM(F9,H9,J9,L9,W9,Q9)*$H$2,2)</f>
        <v>0</v>
      </c>
      <c r="O9" s="113">
        <f>Valores!C$67</f>
        <v>159756.76</v>
      </c>
      <c r="P9" s="113">
        <f>Valores!$D$5</f>
        <v>49998.43</v>
      </c>
      <c r="Q9" s="113">
        <f>IF($F$4="NO",Valores!$C$25,Valores!$C$25/2)</f>
        <v>42556.65</v>
      </c>
      <c r="R9" s="113">
        <v>0</v>
      </c>
      <c r="S9" s="113">
        <f>ROUND(R9*(1+$H$2),2)</f>
        <v>0</v>
      </c>
      <c r="T9" s="113">
        <f>F9+H9+J9</f>
        <v>401493.62</v>
      </c>
      <c r="U9" s="113">
        <f>T9*0.4</f>
        <v>160597.448</v>
      </c>
      <c r="V9" s="169">
        <v>0</v>
      </c>
      <c r="W9" s="113">
        <f>ROUND(V9*Valores!$C$2,2)</f>
        <v>0</v>
      </c>
      <c r="X9" s="113">
        <v>0</v>
      </c>
      <c r="Y9" s="188">
        <v>0</v>
      </c>
      <c r="Z9" s="113">
        <f t="shared" ref="Z9:Z72" si="4">ROUND(SUM(F9,H9,J9,W9,Q9)*Y9,2)</f>
        <v>0</v>
      </c>
      <c r="AA9" s="169">
        <v>0</v>
      </c>
      <c r="AB9" s="113">
        <f>ROUND(AA9*Valores!$C$2,2)</f>
        <v>0</v>
      </c>
      <c r="AC9" s="113">
        <f>ROUND(IF($F$4="NO",Valores!$C$32,Valores!$C$32/2),2)</f>
        <v>23377.77</v>
      </c>
      <c r="AD9" s="113">
        <f>SUM(F9,H9,J9,L9,M9,N9,O9,P9,Q9,S9,T9,U9,W9,X9,Z9,AB9,AC9)*Valores!$C$58</f>
        <v>135028.6868</v>
      </c>
      <c r="AE9" s="113">
        <f t="shared" ref="AE9:AE72" si="5">SUM(F9,H9,J9,L9,M9,N9,O9,P9,Q9,S9,T9,U9,W9,X9,Z9,AB9,AC9,AD9)</f>
        <v>1485315.5548</v>
      </c>
      <c r="AF9" s="113">
        <f>Valores!$C$12</f>
        <v>72856</v>
      </c>
      <c r="AG9" s="113">
        <f>Valores!$C$59</f>
        <v>25000</v>
      </c>
      <c r="AH9" s="113">
        <f t="shared" si="1"/>
        <v>97856</v>
      </c>
      <c r="AI9" s="113">
        <f>AE9*Valores!$C$39</f>
        <v>-163384.71102800002</v>
      </c>
      <c r="AJ9" s="113">
        <f>IF(AE9&lt;Valores!$E$40,-0.02,IF(AE9&lt;Valores!$F$40,-0.03,-0.04))*AE9</f>
        <v>-59412.622192000003</v>
      </c>
      <c r="AK9" s="113">
        <f>AE9*Valores!$C$42</f>
        <v>-81692.35551400001</v>
      </c>
      <c r="AL9" s="113">
        <f>Valores!$C$56</f>
        <v>-1270.1600000000001</v>
      </c>
      <c r="AM9" s="113">
        <f>IF($F$5=0,Valores!$C$57,(Valores!$C$57+$F$5*(Valores!$C$57)))</f>
        <v>-7026</v>
      </c>
      <c r="AN9" s="113">
        <f t="shared" ref="AN9:AN72" si="6">AE9+SUM(AH9:AM9)</f>
        <v>1270385.706066</v>
      </c>
      <c r="AO9" s="113">
        <f t="shared" si="0"/>
        <v>-163384.71102800002</v>
      </c>
      <c r="AP9" s="113">
        <f t="shared" ref="AP9:AP72" si="7">AJ9</f>
        <v>-59412.622192000003</v>
      </c>
      <c r="AQ9" s="113">
        <f>AE9*Valores!$C$43</f>
        <v>-40103.519979600002</v>
      </c>
      <c r="AR9" s="113">
        <f>AE9*Valores!$C$44</f>
        <v>-4455.9466644000004</v>
      </c>
      <c r="AS9" s="113">
        <f t="shared" si="2"/>
        <v>1315814.7549360001</v>
      </c>
      <c r="AT9" s="113">
        <f>AE9*Valores!$C$46</f>
        <v>237650.48876800001</v>
      </c>
      <c r="AU9" s="113">
        <f>AE9*Valores!$C$47</f>
        <v>103972.08883600001</v>
      </c>
      <c r="AV9" s="113">
        <f>AE9*Valores!$C$48</f>
        <v>14853.155548000001</v>
      </c>
      <c r="AW9" s="113">
        <f>AE9*Valores!$C$50</f>
        <v>51986.044418000005</v>
      </c>
      <c r="AX9" s="113">
        <f>AE9*Valores!$C$52</f>
        <v>80207.039959200003</v>
      </c>
      <c r="AY9" s="113">
        <f>AE9*Valores!$C$51</f>
        <v>8911.8933288000007</v>
      </c>
      <c r="AZ9" s="114">
        <v>33</v>
      </c>
      <c r="BA9" s="114">
        <v>45</v>
      </c>
      <c r="BB9" s="111" t="s">
        <v>8</v>
      </c>
    </row>
    <row r="10" spans="1:1023" s="100" customFormat="1" ht="11.25" customHeight="1" x14ac:dyDescent="0.15">
      <c r="A10" s="111" t="s">
        <v>76</v>
      </c>
      <c r="B10" s="111">
        <v>1</v>
      </c>
      <c r="C10" s="114">
        <v>3</v>
      </c>
      <c r="D10" s="112" t="s">
        <v>77</v>
      </c>
      <c r="E10" s="169">
        <v>107</v>
      </c>
      <c r="F10" s="113">
        <f>ROUND(E10*Valores!$C$2,2)</f>
        <v>10465.24</v>
      </c>
      <c r="G10" s="169">
        <v>3720</v>
      </c>
      <c r="H10" s="113">
        <f>ROUND(G10*Valores!$C$2,2)</f>
        <v>363838.32</v>
      </c>
      <c r="I10" s="169">
        <v>1226</v>
      </c>
      <c r="J10" s="113">
        <f>ROUND(I10*Valores!$C$2,2)</f>
        <v>119910.16</v>
      </c>
      <c r="K10" s="169">
        <v>0</v>
      </c>
      <c r="L10" s="113">
        <f>ROUND(K10*Valores!$C$2,2)</f>
        <v>0</v>
      </c>
      <c r="M10" s="113">
        <f>ROUND(IF($H$2=0,IF(AND(A10&lt;&gt;"13-930",A10&lt;&gt;"13-940"),(SUM(F10,H10,J10,L10,W10,S10,Q10)*Valores!$C$4),0),0),2)</f>
        <v>145822.93</v>
      </c>
      <c r="N10" s="113">
        <f t="shared" si="3"/>
        <v>0</v>
      </c>
      <c r="O10" s="113">
        <f>Valores!C$68</f>
        <v>162133.53</v>
      </c>
      <c r="P10" s="113">
        <f>Valores!$D$5</f>
        <v>49998.43</v>
      </c>
      <c r="Q10" s="113">
        <f>IF($F$4="NO",Valores!$C$25,Valores!$C$25/2)</f>
        <v>42556.65</v>
      </c>
      <c r="R10" s="113">
        <f>Valores!$C$8</f>
        <v>46521.33</v>
      </c>
      <c r="S10" s="113">
        <f>ROUND(R10*(1+$H$2),2)</f>
        <v>46521.33</v>
      </c>
      <c r="T10" s="113">
        <v>0</v>
      </c>
      <c r="U10" s="113">
        <v>0</v>
      </c>
      <c r="V10" s="169">
        <v>0</v>
      </c>
      <c r="W10" s="113">
        <f>ROUND(V10*Valores!$C$2,2)</f>
        <v>0</v>
      </c>
      <c r="X10" s="113">
        <v>0</v>
      </c>
      <c r="Y10" s="188">
        <v>0</v>
      </c>
      <c r="Z10" s="113">
        <f t="shared" si="4"/>
        <v>0</v>
      </c>
      <c r="AA10" s="169">
        <v>0</v>
      </c>
      <c r="AB10" s="113">
        <f>ROUND(AA10*Valores!$C$2,2)</f>
        <v>0</v>
      </c>
      <c r="AC10" s="113">
        <f>ROUND(IF($F$4="NO",Valores!$C$32,Valores!$C$32/2),2)</f>
        <v>23377.77</v>
      </c>
      <c r="AD10" s="113">
        <f>SUM(F10,H10,J10,L10,M10,N10,O10,P10,Q10,S10,T10,U10,W10,X10,Z10,AB10,AC10)*Valores!$C$58</f>
        <v>96462.436000000002</v>
      </c>
      <c r="AE10" s="113">
        <f t="shared" si="5"/>
        <v>1061086.7960000001</v>
      </c>
      <c r="AF10" s="113">
        <f>Valores!$C$12</f>
        <v>72856</v>
      </c>
      <c r="AG10" s="113">
        <f>Valores!$C$59</f>
        <v>25000</v>
      </c>
      <c r="AH10" s="113">
        <f t="shared" si="1"/>
        <v>97856</v>
      </c>
      <c r="AI10" s="113">
        <f>AE10*Valores!$C$39</f>
        <v>-116719.54756000001</v>
      </c>
      <c r="AJ10" s="113">
        <f>IF(AE10&lt;Valores!$E$40,-0.02,IF(AE10&lt;Valores!$F$40,-0.03,-0.04))*AE10</f>
        <v>-42443.471840000006</v>
      </c>
      <c r="AK10" s="113">
        <f>AE10*Valores!$C$42</f>
        <v>-58359.773780000003</v>
      </c>
      <c r="AL10" s="113">
        <f>Valores!$C$56</f>
        <v>-1270.1600000000001</v>
      </c>
      <c r="AM10" s="113">
        <f>IF($F$5=0,Valores!$C$57,(Valores!$C$57+$F$5*(Valores!$C$57)))</f>
        <v>-7026</v>
      </c>
      <c r="AN10" s="113">
        <f t="shared" si="6"/>
        <v>933123.84282000014</v>
      </c>
      <c r="AO10" s="113">
        <f t="shared" si="0"/>
        <v>-116719.54756000001</v>
      </c>
      <c r="AP10" s="113">
        <f t="shared" si="7"/>
        <v>-42443.471840000006</v>
      </c>
      <c r="AQ10" s="113">
        <f>AE10*Valores!$C$43</f>
        <v>-28649.343492000004</v>
      </c>
      <c r="AR10" s="113">
        <f>AE10*Valores!$C$44</f>
        <v>-3183.2603880000001</v>
      </c>
      <c r="AS10" s="113">
        <f t="shared" si="2"/>
        <v>967947.17272000003</v>
      </c>
      <c r="AT10" s="113">
        <f>AE10*Valores!$C$46</f>
        <v>169773.88736000002</v>
      </c>
      <c r="AU10" s="113">
        <f>AE10*Valores!$C$47</f>
        <v>74276.075720000008</v>
      </c>
      <c r="AV10" s="113">
        <f>AE10*Valores!$C$48</f>
        <v>10610.867960000001</v>
      </c>
      <c r="AW10" s="113">
        <f>AE10*Valores!$C$50</f>
        <v>37138.037860000004</v>
      </c>
      <c r="AX10" s="113">
        <f>AE10*Valores!$C$52</f>
        <v>57298.686984000007</v>
      </c>
      <c r="AY10" s="113">
        <f>AE10*Valores!$C$51</f>
        <v>6366.5207760000003</v>
      </c>
      <c r="AZ10" s="114">
        <v>35</v>
      </c>
      <c r="BA10" s="114">
        <v>45</v>
      </c>
      <c r="BB10" s="111" t="s">
        <v>8</v>
      </c>
    </row>
    <row r="11" spans="1:1023" s="100" customFormat="1" ht="11.25" customHeight="1" x14ac:dyDescent="0.15">
      <c r="A11" s="111" t="s">
        <v>78</v>
      </c>
      <c r="B11" s="111">
        <v>1</v>
      </c>
      <c r="C11" s="114">
        <v>4</v>
      </c>
      <c r="D11" s="112" t="s">
        <v>79</v>
      </c>
      <c r="E11" s="169">
        <v>107</v>
      </c>
      <c r="F11" s="113">
        <f>ROUND(E11*Valores!$C$2,2)</f>
        <v>10465.24</v>
      </c>
      <c r="G11" s="169">
        <v>3779</v>
      </c>
      <c r="H11" s="113">
        <f>ROUND(G11*Valores!$C$2,2)</f>
        <v>369608.87</v>
      </c>
      <c r="I11" s="169">
        <v>219</v>
      </c>
      <c r="J11" s="113">
        <f>ROUND(I11*Valores!$C$2,2)</f>
        <v>21419.51</v>
      </c>
      <c r="K11" s="169">
        <v>0</v>
      </c>
      <c r="L11" s="113">
        <f>ROUND(K11*Valores!$C$2,2)</f>
        <v>0</v>
      </c>
      <c r="M11" s="113">
        <f>ROUND(IF($H$2=0,IF(AND(A11&lt;&gt;"13-930",A11&lt;&gt;"13-940"),(SUM(F11,H11,J11,L11,W11,S11,Q11)*Valores!$C$4),0),0),2)</f>
        <v>111012.57</v>
      </c>
      <c r="N11" s="113">
        <f t="shared" si="3"/>
        <v>0</v>
      </c>
      <c r="O11" s="113">
        <f>Valores!C$67</f>
        <v>159756.76</v>
      </c>
      <c r="P11" s="113">
        <f>Valores!$D$5</f>
        <v>49998.43</v>
      </c>
      <c r="Q11" s="113">
        <f>IF($F$4="NO",Valores!$C$25,Valores!$C$25/2)</f>
        <v>42556.65</v>
      </c>
      <c r="R11" s="113">
        <v>0</v>
      </c>
      <c r="S11" s="113">
        <f t="shared" ref="S11:S74" si="8">ROUND(R11*(1+$H$2),2)</f>
        <v>0</v>
      </c>
      <c r="T11" s="113">
        <f t="shared" ref="T11:T20" si="9">F11+H11+J11</f>
        <v>401493.62</v>
      </c>
      <c r="U11" s="113">
        <f t="shared" ref="U11:U20" si="10">T11*0.4</f>
        <v>160597.448</v>
      </c>
      <c r="V11" s="169">
        <v>0</v>
      </c>
      <c r="W11" s="113">
        <f>ROUND(V11*Valores!$C$2,2)</f>
        <v>0</v>
      </c>
      <c r="X11" s="113">
        <v>0</v>
      </c>
      <c r="Y11" s="188">
        <v>0</v>
      </c>
      <c r="Z11" s="113">
        <f t="shared" si="4"/>
        <v>0</v>
      </c>
      <c r="AA11" s="169">
        <v>0</v>
      </c>
      <c r="AB11" s="113">
        <f>ROUND(AA11*Valores!$C$2,2)</f>
        <v>0</v>
      </c>
      <c r="AC11" s="113">
        <f>ROUND(IF($F$4="NO",Valores!$C$32,Valores!$C$32/2),2)</f>
        <v>23377.77</v>
      </c>
      <c r="AD11" s="113">
        <f>SUM(F11,H11,J11,L11,M11,N11,O11,P11,Q11,S11,T11,U11,W11,X11,Z11,AB11,AC11)*Valores!$C$58</f>
        <v>135028.6868</v>
      </c>
      <c r="AE11" s="113">
        <f t="shared" si="5"/>
        <v>1485315.5548</v>
      </c>
      <c r="AF11" s="113">
        <f>Valores!$C$12</f>
        <v>72856</v>
      </c>
      <c r="AG11" s="113">
        <f>Valores!$C$59</f>
        <v>25000</v>
      </c>
      <c r="AH11" s="113">
        <f t="shared" si="1"/>
        <v>97856</v>
      </c>
      <c r="AI11" s="113">
        <f>AE11*Valores!$C$39</f>
        <v>-163384.71102800002</v>
      </c>
      <c r="AJ11" s="113">
        <f>IF(AE11&lt;Valores!$E$40,-0.02,IF(AE11&lt;Valores!$F$40,-0.03,-0.04))*AE11</f>
        <v>-59412.622192000003</v>
      </c>
      <c r="AK11" s="113">
        <f>AE11*Valores!$C$42</f>
        <v>-81692.35551400001</v>
      </c>
      <c r="AL11" s="113">
        <f>Valores!$C$56</f>
        <v>-1270.1600000000001</v>
      </c>
      <c r="AM11" s="113">
        <f>IF($F$5=0,Valores!$C$57,(Valores!$C$57+$F$5*(Valores!$C$57)))</f>
        <v>-7026</v>
      </c>
      <c r="AN11" s="113">
        <f t="shared" si="6"/>
        <v>1270385.706066</v>
      </c>
      <c r="AO11" s="113">
        <f t="shared" si="0"/>
        <v>-163384.71102800002</v>
      </c>
      <c r="AP11" s="113">
        <f t="shared" si="7"/>
        <v>-59412.622192000003</v>
      </c>
      <c r="AQ11" s="113">
        <f>AE11*Valores!$C$43</f>
        <v>-40103.519979600002</v>
      </c>
      <c r="AR11" s="113">
        <f>AE11*Valores!$C$44</f>
        <v>-4455.9466644000004</v>
      </c>
      <c r="AS11" s="113">
        <f t="shared" si="2"/>
        <v>1315814.7549360001</v>
      </c>
      <c r="AT11" s="113">
        <f>AE11*Valores!$C$46</f>
        <v>237650.48876800001</v>
      </c>
      <c r="AU11" s="113">
        <f>AE11*Valores!$C$47</f>
        <v>103972.08883600001</v>
      </c>
      <c r="AV11" s="113">
        <f>AE11*Valores!$C$48</f>
        <v>14853.155548000001</v>
      </c>
      <c r="AW11" s="113">
        <f>AE11*Valores!$C$50</f>
        <v>51986.044418000005</v>
      </c>
      <c r="AX11" s="113">
        <f>AE11*Valores!$C$52</f>
        <v>80207.039959200003</v>
      </c>
      <c r="AY11" s="113">
        <f>AE11*Valores!$C$51</f>
        <v>8911.8933288000007</v>
      </c>
      <c r="AZ11" s="114">
        <v>33</v>
      </c>
      <c r="BA11" s="114">
        <v>45</v>
      </c>
      <c r="BB11" s="111" t="s">
        <v>8</v>
      </c>
    </row>
    <row r="12" spans="1:1023" s="100" customFormat="1" ht="11.25" customHeight="1" x14ac:dyDescent="0.15">
      <c r="A12" s="111" t="s">
        <v>80</v>
      </c>
      <c r="B12" s="111">
        <v>1</v>
      </c>
      <c r="C12" s="114">
        <v>5</v>
      </c>
      <c r="D12" s="112" t="s">
        <v>81</v>
      </c>
      <c r="E12" s="169">
        <v>107</v>
      </c>
      <c r="F12" s="113">
        <f>ROUND(E12*Valores!$C$2,2)</f>
        <v>10465.24</v>
      </c>
      <c r="G12" s="169">
        <v>3779</v>
      </c>
      <c r="H12" s="113">
        <f>ROUND(G12*Valores!$C$2,2)</f>
        <v>369608.87</v>
      </c>
      <c r="I12" s="169">
        <v>219</v>
      </c>
      <c r="J12" s="113">
        <f>ROUND(I12*Valores!$C$2,2)</f>
        <v>21419.51</v>
      </c>
      <c r="K12" s="169">
        <v>0</v>
      </c>
      <c r="L12" s="113">
        <f>ROUND(K12*Valores!$C$2,2)</f>
        <v>0</v>
      </c>
      <c r="M12" s="113">
        <f>ROUND(IF($H$2=0,IF(AND(A12&lt;&gt;"13-930",A12&lt;&gt;"13-940"),(SUM(F12,H12,J12,L12,W12,S12,Q12)*Valores!$C$4),0),0),2)</f>
        <v>111012.57</v>
      </c>
      <c r="N12" s="113">
        <f t="shared" si="3"/>
        <v>0</v>
      </c>
      <c r="O12" s="113">
        <f>Valores!C$67</f>
        <v>159756.76</v>
      </c>
      <c r="P12" s="113">
        <f>Valores!$D$5</f>
        <v>49998.43</v>
      </c>
      <c r="Q12" s="113">
        <f>IF($F$4="NO",Valores!$C$25,Valores!$C$25/2)</f>
        <v>42556.65</v>
      </c>
      <c r="R12" s="113">
        <v>0</v>
      </c>
      <c r="S12" s="113">
        <f t="shared" si="8"/>
        <v>0</v>
      </c>
      <c r="T12" s="113">
        <f t="shared" si="9"/>
        <v>401493.62</v>
      </c>
      <c r="U12" s="113">
        <f t="shared" si="10"/>
        <v>160597.448</v>
      </c>
      <c r="V12" s="169">
        <v>0</v>
      </c>
      <c r="W12" s="113">
        <f>ROUND(V12*Valores!$C$2,2)</f>
        <v>0</v>
      </c>
      <c r="X12" s="113">
        <v>0</v>
      </c>
      <c r="Y12" s="188">
        <v>0</v>
      </c>
      <c r="Z12" s="113">
        <f t="shared" si="4"/>
        <v>0</v>
      </c>
      <c r="AA12" s="169">
        <v>0</v>
      </c>
      <c r="AB12" s="113">
        <f>ROUND(AA12*Valores!$C$2,2)</f>
        <v>0</v>
      </c>
      <c r="AC12" s="113">
        <f>ROUND(IF($F$4="NO",Valores!$C$32,Valores!$C$32/2),2)</f>
        <v>23377.77</v>
      </c>
      <c r="AD12" s="113">
        <f>SUM(F12,H12,J12,L12,M12,N12,O12,P12,Q12,S12,T12,U12,W12,X12,Z12,AB12,AC12)*Valores!$C$58</f>
        <v>135028.6868</v>
      </c>
      <c r="AE12" s="113">
        <f t="shared" si="5"/>
        <v>1485315.5548</v>
      </c>
      <c r="AF12" s="113">
        <f>Valores!$C$12</f>
        <v>72856</v>
      </c>
      <c r="AG12" s="113">
        <f>Valores!$C$59</f>
        <v>25000</v>
      </c>
      <c r="AH12" s="113">
        <f t="shared" si="1"/>
        <v>97856</v>
      </c>
      <c r="AI12" s="113">
        <f>AE12*Valores!$C$39</f>
        <v>-163384.71102800002</v>
      </c>
      <c r="AJ12" s="113">
        <f>IF(AE12&lt;Valores!$E$40,-0.02,IF(AE12&lt;Valores!$F$40,-0.03,-0.04))*AE12</f>
        <v>-59412.622192000003</v>
      </c>
      <c r="AK12" s="113">
        <f>AE12*Valores!$C$42</f>
        <v>-81692.35551400001</v>
      </c>
      <c r="AL12" s="113">
        <f>Valores!$C$56</f>
        <v>-1270.1600000000001</v>
      </c>
      <c r="AM12" s="113">
        <f>IF($F$5=0,Valores!$C$57,(Valores!$C$57+$F$5*(Valores!$C$57)))</f>
        <v>-7026</v>
      </c>
      <c r="AN12" s="113">
        <f t="shared" si="6"/>
        <v>1270385.706066</v>
      </c>
      <c r="AO12" s="113">
        <f t="shared" si="0"/>
        <v>-163384.71102800002</v>
      </c>
      <c r="AP12" s="113">
        <f t="shared" si="7"/>
        <v>-59412.622192000003</v>
      </c>
      <c r="AQ12" s="113">
        <f>AE12*Valores!$C$43</f>
        <v>-40103.519979600002</v>
      </c>
      <c r="AR12" s="113">
        <f>AE12*Valores!$C$44</f>
        <v>-4455.9466644000004</v>
      </c>
      <c r="AS12" s="113">
        <f t="shared" si="2"/>
        <v>1315814.7549360001</v>
      </c>
      <c r="AT12" s="113">
        <f>AE12*Valores!$C$46</f>
        <v>237650.48876800001</v>
      </c>
      <c r="AU12" s="113">
        <f>AE12*Valores!$C$47</f>
        <v>103972.08883600001</v>
      </c>
      <c r="AV12" s="113">
        <f>AE12*Valores!$C$48</f>
        <v>14853.155548000001</v>
      </c>
      <c r="AW12" s="113">
        <f>AE12*Valores!$C$50</f>
        <v>51986.044418000005</v>
      </c>
      <c r="AX12" s="113">
        <f>AE12*Valores!$C$52</f>
        <v>80207.039959200003</v>
      </c>
      <c r="AY12" s="113">
        <f>AE12*Valores!$C$51</f>
        <v>8911.8933288000007</v>
      </c>
      <c r="AZ12" s="114">
        <v>33</v>
      </c>
      <c r="BA12" s="114">
        <v>45</v>
      </c>
      <c r="BB12" s="111" t="s">
        <v>8</v>
      </c>
    </row>
    <row r="13" spans="1:1023" s="100" customFormat="1" ht="11.25" customHeight="1" x14ac:dyDescent="0.15">
      <c r="A13" s="111" t="s">
        <v>82</v>
      </c>
      <c r="B13" s="111">
        <v>1</v>
      </c>
      <c r="C13" s="114">
        <v>6</v>
      </c>
      <c r="D13" s="112" t="s">
        <v>83</v>
      </c>
      <c r="E13" s="169">
        <v>107</v>
      </c>
      <c r="F13" s="113">
        <f>ROUND(E13*Valores!$C$2,2)</f>
        <v>10465.24</v>
      </c>
      <c r="G13" s="169">
        <v>3779</v>
      </c>
      <c r="H13" s="113">
        <f>ROUND(G13*Valores!$C$2,2)</f>
        <v>369608.87</v>
      </c>
      <c r="I13" s="169">
        <v>219</v>
      </c>
      <c r="J13" s="113">
        <f>ROUND(I13*Valores!$C$2,2)</f>
        <v>21419.51</v>
      </c>
      <c r="K13" s="169">
        <v>0</v>
      </c>
      <c r="L13" s="113">
        <f>ROUND(K13*Valores!$C$2,2)</f>
        <v>0</v>
      </c>
      <c r="M13" s="113">
        <f>ROUND(IF($H$2=0,IF(AND(A13&lt;&gt;"13-930",A13&lt;&gt;"13-940"),(SUM(F13,H13,J13,L13,W13,S13,Q13)*Valores!$C$4),0),0),2)</f>
        <v>111012.57</v>
      </c>
      <c r="N13" s="113">
        <f t="shared" si="3"/>
        <v>0</v>
      </c>
      <c r="O13" s="113">
        <f>Valores!C$67</f>
        <v>159756.76</v>
      </c>
      <c r="P13" s="113">
        <f>Valores!$D$5</f>
        <v>49998.43</v>
      </c>
      <c r="Q13" s="113">
        <f>IF($F$4="NO",Valores!$C$25,Valores!$C$25/2)</f>
        <v>42556.65</v>
      </c>
      <c r="R13" s="113">
        <v>0</v>
      </c>
      <c r="S13" s="113">
        <f t="shared" si="8"/>
        <v>0</v>
      </c>
      <c r="T13" s="113">
        <f t="shared" si="9"/>
        <v>401493.62</v>
      </c>
      <c r="U13" s="113">
        <f t="shared" si="10"/>
        <v>160597.448</v>
      </c>
      <c r="V13" s="169">
        <v>0</v>
      </c>
      <c r="W13" s="113">
        <f>ROUND(V13*Valores!$C$2,2)</f>
        <v>0</v>
      </c>
      <c r="X13" s="113">
        <v>0</v>
      </c>
      <c r="Y13" s="188">
        <v>0</v>
      </c>
      <c r="Z13" s="113">
        <f t="shared" si="4"/>
        <v>0</v>
      </c>
      <c r="AA13" s="169">
        <v>0</v>
      </c>
      <c r="AB13" s="113">
        <f>ROUND(AA13*Valores!$C$2,2)</f>
        <v>0</v>
      </c>
      <c r="AC13" s="113">
        <f>ROUND(IF($F$4="NO",Valores!$C$32,Valores!$C$32/2),2)</f>
        <v>23377.77</v>
      </c>
      <c r="AD13" s="113">
        <f>SUM(F13,H13,J13,L13,M13,N13,O13,P13,Q13,S13,T13,U13,W13,X13,Z13,AB13,AC13)*Valores!$C$58</f>
        <v>135028.6868</v>
      </c>
      <c r="AE13" s="113">
        <f t="shared" si="5"/>
        <v>1485315.5548</v>
      </c>
      <c r="AF13" s="113">
        <f>Valores!$C$12</f>
        <v>72856</v>
      </c>
      <c r="AG13" s="113">
        <f>Valores!$C$59</f>
        <v>25000</v>
      </c>
      <c r="AH13" s="113">
        <f t="shared" si="1"/>
        <v>97856</v>
      </c>
      <c r="AI13" s="113">
        <f>AE13*Valores!$C$39</f>
        <v>-163384.71102800002</v>
      </c>
      <c r="AJ13" s="113">
        <f>IF(AE13&lt;Valores!$E$40,-0.02,IF(AE13&lt;Valores!$F$40,-0.03,-0.04))*AE13</f>
        <v>-59412.622192000003</v>
      </c>
      <c r="AK13" s="113">
        <f>AE13*Valores!$C$42</f>
        <v>-81692.35551400001</v>
      </c>
      <c r="AL13" s="113">
        <f>Valores!$C$56</f>
        <v>-1270.1600000000001</v>
      </c>
      <c r="AM13" s="113">
        <f>IF($F$5=0,Valores!$C$57,(Valores!$C$57+$F$5*(Valores!$C$57)))</f>
        <v>-7026</v>
      </c>
      <c r="AN13" s="113">
        <f t="shared" si="6"/>
        <v>1270385.706066</v>
      </c>
      <c r="AO13" s="113">
        <f t="shared" si="0"/>
        <v>-163384.71102800002</v>
      </c>
      <c r="AP13" s="113">
        <f t="shared" si="7"/>
        <v>-59412.622192000003</v>
      </c>
      <c r="AQ13" s="113">
        <f>AE13*Valores!$C$43</f>
        <v>-40103.519979600002</v>
      </c>
      <c r="AR13" s="113">
        <f>AE13*Valores!$C$44</f>
        <v>-4455.9466644000004</v>
      </c>
      <c r="AS13" s="113">
        <f t="shared" si="2"/>
        <v>1315814.7549360001</v>
      </c>
      <c r="AT13" s="113">
        <f>AE13*Valores!$C$46</f>
        <v>237650.48876800001</v>
      </c>
      <c r="AU13" s="113">
        <f>AE13*Valores!$C$47</f>
        <v>103972.08883600001</v>
      </c>
      <c r="AV13" s="113">
        <f>AE13*Valores!$C$48</f>
        <v>14853.155548000001</v>
      </c>
      <c r="AW13" s="113">
        <f>AE13*Valores!$C$50</f>
        <v>51986.044418000005</v>
      </c>
      <c r="AX13" s="113">
        <f>AE13*Valores!$C$52</f>
        <v>80207.039959200003</v>
      </c>
      <c r="AY13" s="113">
        <f>AE13*Valores!$C$51</f>
        <v>8911.8933288000007</v>
      </c>
      <c r="AZ13" s="114">
        <v>33</v>
      </c>
      <c r="BA13" s="114">
        <v>45</v>
      </c>
      <c r="BB13" s="111" t="s">
        <v>8</v>
      </c>
    </row>
    <row r="14" spans="1:1023" s="100" customFormat="1" ht="11.25" customHeight="1" x14ac:dyDescent="0.15">
      <c r="A14" s="111" t="s">
        <v>84</v>
      </c>
      <c r="B14" s="111">
        <v>1</v>
      </c>
      <c r="C14" s="114">
        <v>7</v>
      </c>
      <c r="D14" s="112" t="s">
        <v>85</v>
      </c>
      <c r="E14" s="169">
        <v>107</v>
      </c>
      <c r="F14" s="113">
        <f>ROUND(E14*Valores!$C$2,2)</f>
        <v>10465.24</v>
      </c>
      <c r="G14" s="169">
        <v>3779</v>
      </c>
      <c r="H14" s="113">
        <f>ROUND(G14*Valores!$C$2,2)</f>
        <v>369608.87</v>
      </c>
      <c r="I14" s="169">
        <v>219</v>
      </c>
      <c r="J14" s="113">
        <f>ROUND(I14*Valores!$C$2,2)</f>
        <v>21419.51</v>
      </c>
      <c r="K14" s="169">
        <v>0</v>
      </c>
      <c r="L14" s="113">
        <f>ROUND(K14*Valores!$C$2,2)</f>
        <v>0</v>
      </c>
      <c r="M14" s="113">
        <f>ROUND(IF($H$2=0,IF(AND(A14&lt;&gt;"13-930",A14&lt;&gt;"13-940"),(SUM(F14,H14,J14,L14,W14,S14,Q14)*Valores!$C$4),0),0),2)</f>
        <v>111012.57</v>
      </c>
      <c r="N14" s="113">
        <f t="shared" si="3"/>
        <v>0</v>
      </c>
      <c r="O14" s="113">
        <f>Valores!C$67</f>
        <v>159756.76</v>
      </c>
      <c r="P14" s="113">
        <f>Valores!$D$5</f>
        <v>49998.43</v>
      </c>
      <c r="Q14" s="113">
        <f>IF($F$4="NO",Valores!$C$25,Valores!$C$25/2)</f>
        <v>42556.65</v>
      </c>
      <c r="R14" s="113">
        <v>0</v>
      </c>
      <c r="S14" s="113">
        <f t="shared" si="8"/>
        <v>0</v>
      </c>
      <c r="T14" s="113">
        <f t="shared" si="9"/>
        <v>401493.62</v>
      </c>
      <c r="U14" s="113">
        <f t="shared" si="10"/>
        <v>160597.448</v>
      </c>
      <c r="V14" s="169">
        <v>0</v>
      </c>
      <c r="W14" s="113">
        <f>ROUND(V14*Valores!$C$2,2)</f>
        <v>0</v>
      </c>
      <c r="X14" s="113">
        <v>0</v>
      </c>
      <c r="Y14" s="188">
        <v>0</v>
      </c>
      <c r="Z14" s="113">
        <f t="shared" si="4"/>
        <v>0</v>
      </c>
      <c r="AA14" s="169">
        <v>0</v>
      </c>
      <c r="AB14" s="113">
        <f>ROUND(AA14*Valores!$C$2,2)</f>
        <v>0</v>
      </c>
      <c r="AC14" s="113">
        <f>ROUND(IF($F$4="NO",Valores!$C$32,Valores!$C$32/2),2)</f>
        <v>23377.77</v>
      </c>
      <c r="AD14" s="113">
        <f>SUM(F14,H14,J14,L14,M14,N14,O14,P14,Q14,S14,T14,U14,W14,X14,Z14,AB14,AC14)*Valores!$C$58</f>
        <v>135028.6868</v>
      </c>
      <c r="AE14" s="113">
        <f t="shared" si="5"/>
        <v>1485315.5548</v>
      </c>
      <c r="AF14" s="113">
        <f>Valores!$C$12</f>
        <v>72856</v>
      </c>
      <c r="AG14" s="113">
        <f>Valores!$C$59</f>
        <v>25000</v>
      </c>
      <c r="AH14" s="113">
        <f t="shared" si="1"/>
        <v>97856</v>
      </c>
      <c r="AI14" s="113">
        <f>AE14*Valores!$C$39</f>
        <v>-163384.71102800002</v>
      </c>
      <c r="AJ14" s="113">
        <f>IF(AE14&lt;Valores!$E$40,-0.02,IF(AE14&lt;Valores!$F$40,-0.03,-0.04))*AE14</f>
        <v>-59412.622192000003</v>
      </c>
      <c r="AK14" s="113">
        <f>AE14*Valores!$C$42</f>
        <v>-81692.35551400001</v>
      </c>
      <c r="AL14" s="113">
        <f>Valores!$C$56</f>
        <v>-1270.1600000000001</v>
      </c>
      <c r="AM14" s="113">
        <f>IF($F$5=0,Valores!$C$57,(Valores!$C$57+$F$5*(Valores!$C$57)))</f>
        <v>-7026</v>
      </c>
      <c r="AN14" s="113">
        <f t="shared" si="6"/>
        <v>1270385.706066</v>
      </c>
      <c r="AO14" s="113">
        <f t="shared" si="0"/>
        <v>-163384.71102800002</v>
      </c>
      <c r="AP14" s="113">
        <f t="shared" si="7"/>
        <v>-59412.622192000003</v>
      </c>
      <c r="AQ14" s="113">
        <f>AE14*Valores!$C$43</f>
        <v>-40103.519979600002</v>
      </c>
      <c r="AR14" s="113">
        <f>AE14*Valores!$C$44</f>
        <v>-4455.9466644000004</v>
      </c>
      <c r="AS14" s="113">
        <f t="shared" si="2"/>
        <v>1315814.7549360001</v>
      </c>
      <c r="AT14" s="113">
        <f>AE14*Valores!$C$46</f>
        <v>237650.48876800001</v>
      </c>
      <c r="AU14" s="113">
        <f>AE14*Valores!$C$47</f>
        <v>103972.08883600001</v>
      </c>
      <c r="AV14" s="113">
        <f>AE14*Valores!$C$48</f>
        <v>14853.155548000001</v>
      </c>
      <c r="AW14" s="113">
        <f>AE14*Valores!$C$50</f>
        <v>51986.044418000005</v>
      </c>
      <c r="AX14" s="113">
        <f>AE14*Valores!$C$52</f>
        <v>80207.039959200003</v>
      </c>
      <c r="AY14" s="113">
        <f>AE14*Valores!$C$51</f>
        <v>8911.8933288000007</v>
      </c>
      <c r="AZ14" s="114">
        <v>33</v>
      </c>
      <c r="BA14" s="114">
        <v>45</v>
      </c>
      <c r="BB14" s="111" t="s">
        <v>8</v>
      </c>
    </row>
    <row r="15" spans="1:1023" s="100" customFormat="1" ht="11.25" customHeight="1" x14ac:dyDescent="0.15">
      <c r="A15" s="111" t="s">
        <v>86</v>
      </c>
      <c r="B15" s="111">
        <v>1</v>
      </c>
      <c r="C15" s="114">
        <v>8</v>
      </c>
      <c r="D15" s="112" t="s">
        <v>87</v>
      </c>
      <c r="E15" s="169">
        <v>107</v>
      </c>
      <c r="F15" s="113">
        <f>ROUND(E15*Valores!$C$2,2)</f>
        <v>10465.24</v>
      </c>
      <c r="G15" s="169">
        <v>3779</v>
      </c>
      <c r="H15" s="113">
        <f>ROUND(G15*Valores!$C$2,2)</f>
        <v>369608.87</v>
      </c>
      <c r="I15" s="169">
        <v>219</v>
      </c>
      <c r="J15" s="113">
        <f>ROUND(I15*Valores!$C$2,2)</f>
        <v>21419.51</v>
      </c>
      <c r="K15" s="169">
        <v>0</v>
      </c>
      <c r="L15" s="113">
        <f>ROUND(K15*Valores!$C$2,2)</f>
        <v>0</v>
      </c>
      <c r="M15" s="113">
        <f>ROUND(IF($H$2=0,IF(AND(A15&lt;&gt;"13-930",A15&lt;&gt;"13-940"),(SUM(F15,H15,J15,L15,W15,S15,Q15)*Valores!$C$4),0),0),2)</f>
        <v>111012.57</v>
      </c>
      <c r="N15" s="113">
        <f t="shared" si="3"/>
        <v>0</v>
      </c>
      <c r="O15" s="113">
        <f>Valores!C$67</f>
        <v>159756.76</v>
      </c>
      <c r="P15" s="113">
        <f>Valores!$D$5</f>
        <v>49998.43</v>
      </c>
      <c r="Q15" s="113">
        <f>IF($F$4="NO",Valores!$C$25,Valores!$C$25/2)</f>
        <v>42556.65</v>
      </c>
      <c r="R15" s="113">
        <v>0</v>
      </c>
      <c r="S15" s="113">
        <f t="shared" si="8"/>
        <v>0</v>
      </c>
      <c r="T15" s="113">
        <f t="shared" si="9"/>
        <v>401493.62</v>
      </c>
      <c r="U15" s="113">
        <f t="shared" si="10"/>
        <v>160597.448</v>
      </c>
      <c r="V15" s="169">
        <v>0</v>
      </c>
      <c r="W15" s="113">
        <f>ROUND(V15*Valores!$C$2,2)</f>
        <v>0</v>
      </c>
      <c r="X15" s="113">
        <v>0</v>
      </c>
      <c r="Y15" s="188">
        <v>0</v>
      </c>
      <c r="Z15" s="113">
        <f t="shared" si="4"/>
        <v>0</v>
      </c>
      <c r="AA15" s="169">
        <v>0</v>
      </c>
      <c r="AB15" s="113">
        <f>ROUND(AA15*Valores!$C$2,2)</f>
        <v>0</v>
      </c>
      <c r="AC15" s="113">
        <f>ROUND(IF($F$4="NO",Valores!$C$32,Valores!$C$32/2),2)</f>
        <v>23377.77</v>
      </c>
      <c r="AD15" s="113">
        <f>SUM(F15,H15,J15,L15,M15,N15,O15,P15,Q15,S15,T15,U15,W15,X15,Z15,AB15,AC15)*Valores!$C$58</f>
        <v>135028.6868</v>
      </c>
      <c r="AE15" s="113">
        <f t="shared" si="5"/>
        <v>1485315.5548</v>
      </c>
      <c r="AF15" s="113">
        <f>Valores!$C$12</f>
        <v>72856</v>
      </c>
      <c r="AG15" s="113">
        <f>Valores!$C$59</f>
        <v>25000</v>
      </c>
      <c r="AH15" s="113">
        <f t="shared" si="1"/>
        <v>97856</v>
      </c>
      <c r="AI15" s="113">
        <f>AE15*Valores!$C$39</f>
        <v>-163384.71102800002</v>
      </c>
      <c r="AJ15" s="113">
        <f>IF(AE15&lt;Valores!$E$40,-0.02,IF(AE15&lt;Valores!$F$40,-0.03,-0.04))*AE15</f>
        <v>-59412.622192000003</v>
      </c>
      <c r="AK15" s="113">
        <f>AE15*Valores!$C$42</f>
        <v>-81692.35551400001</v>
      </c>
      <c r="AL15" s="113">
        <f>Valores!$C$56</f>
        <v>-1270.1600000000001</v>
      </c>
      <c r="AM15" s="113">
        <f>IF($F$5=0,Valores!$C$57,(Valores!$C$57+$F$5*(Valores!$C$57)))</f>
        <v>-7026</v>
      </c>
      <c r="AN15" s="113">
        <f t="shared" si="6"/>
        <v>1270385.706066</v>
      </c>
      <c r="AO15" s="113">
        <f t="shared" si="0"/>
        <v>-163384.71102800002</v>
      </c>
      <c r="AP15" s="113">
        <f t="shared" si="7"/>
        <v>-59412.622192000003</v>
      </c>
      <c r="AQ15" s="113">
        <f>AE15*Valores!$C$43</f>
        <v>-40103.519979600002</v>
      </c>
      <c r="AR15" s="113">
        <f>AE15*Valores!$C$44</f>
        <v>-4455.9466644000004</v>
      </c>
      <c r="AS15" s="113">
        <f t="shared" si="2"/>
        <v>1315814.7549360001</v>
      </c>
      <c r="AT15" s="113">
        <f>AE15*Valores!$C$46</f>
        <v>237650.48876800001</v>
      </c>
      <c r="AU15" s="113">
        <f>AE15*Valores!$C$47</f>
        <v>103972.08883600001</v>
      </c>
      <c r="AV15" s="113">
        <f>AE15*Valores!$C$48</f>
        <v>14853.155548000001</v>
      </c>
      <c r="AW15" s="113">
        <f>AE15*Valores!$C$50</f>
        <v>51986.044418000005</v>
      </c>
      <c r="AX15" s="113">
        <f>AE15*Valores!$C$52</f>
        <v>80207.039959200003</v>
      </c>
      <c r="AY15" s="113">
        <f>AE15*Valores!$C$51</f>
        <v>8911.8933288000007</v>
      </c>
      <c r="AZ15" s="114">
        <v>33</v>
      </c>
      <c r="BA15" s="114">
        <v>45</v>
      </c>
      <c r="BB15" s="111" t="s">
        <v>8</v>
      </c>
    </row>
    <row r="16" spans="1:1023" s="100" customFormat="1" ht="11.25" customHeight="1" x14ac:dyDescent="0.15">
      <c r="A16" s="111" t="s">
        <v>88</v>
      </c>
      <c r="B16" s="111">
        <v>1</v>
      </c>
      <c r="C16" s="114">
        <v>9</v>
      </c>
      <c r="D16" s="112" t="s">
        <v>89</v>
      </c>
      <c r="E16" s="169">
        <v>100</v>
      </c>
      <c r="F16" s="113">
        <f>ROUND(E16*Valores!$C$2,2)</f>
        <v>9780.6</v>
      </c>
      <c r="G16" s="169">
        <v>3727</v>
      </c>
      <c r="H16" s="113">
        <f>ROUND(G16*Valores!$C$2,2)</f>
        <v>364522.96</v>
      </c>
      <c r="I16" s="169">
        <v>219</v>
      </c>
      <c r="J16" s="113">
        <f>ROUND(I16*Valores!$C$2,2)</f>
        <v>21419.51</v>
      </c>
      <c r="K16" s="169">
        <v>0</v>
      </c>
      <c r="L16" s="113">
        <f>ROUND(K16*Valores!$C$2,2)</f>
        <v>0</v>
      </c>
      <c r="M16" s="113">
        <f>ROUND(IF($H$2=0,IF(AND(A16&lt;&gt;"13-930",A16&lt;&gt;"13-940"),(SUM(F16,H16,J16,L16,W16,S16,Q16)*Valores!$C$4),0),0),2)</f>
        <v>109569.93</v>
      </c>
      <c r="N16" s="113">
        <f t="shared" si="3"/>
        <v>0</v>
      </c>
      <c r="O16" s="113">
        <f>Valores!C$67</f>
        <v>159756.76</v>
      </c>
      <c r="P16" s="113">
        <f>Valores!$D$5</f>
        <v>49998.43</v>
      </c>
      <c r="Q16" s="113">
        <f>IF($F$4="NO",Valores!$C$25,Valores!$C$25/2)</f>
        <v>42556.65</v>
      </c>
      <c r="R16" s="113">
        <v>0</v>
      </c>
      <c r="S16" s="113">
        <f t="shared" si="8"/>
        <v>0</v>
      </c>
      <c r="T16" s="113">
        <f t="shared" si="9"/>
        <v>395723.07</v>
      </c>
      <c r="U16" s="113">
        <f t="shared" si="10"/>
        <v>158289.228</v>
      </c>
      <c r="V16" s="169">
        <v>0</v>
      </c>
      <c r="W16" s="113">
        <f>ROUND(V16*Valores!$C$2,2)</f>
        <v>0</v>
      </c>
      <c r="X16" s="113">
        <v>0</v>
      </c>
      <c r="Y16" s="188">
        <v>0</v>
      </c>
      <c r="Z16" s="113">
        <f t="shared" si="4"/>
        <v>0</v>
      </c>
      <c r="AA16" s="169">
        <v>0</v>
      </c>
      <c r="AB16" s="113">
        <f>ROUND(AA16*Valores!$C$2,2)</f>
        <v>0</v>
      </c>
      <c r="AC16" s="113">
        <f>ROUND(IF($F$4="NO",Valores!$C$32,Valores!$C$32/2),2)</f>
        <v>23377.77</v>
      </c>
      <c r="AD16" s="113">
        <f>SUM(F16,H16,J16,L16,M16,N16,O16,P16,Q16,S16,T16,U16,W16,X16,Z16,AB16,AC16)*Valores!$C$58</f>
        <v>133499.49080000003</v>
      </c>
      <c r="AE16" s="113">
        <f t="shared" si="5"/>
        <v>1468494.3988000003</v>
      </c>
      <c r="AF16" s="113">
        <f>Valores!$C$12</f>
        <v>72856</v>
      </c>
      <c r="AG16" s="113">
        <f>Valores!$C$59</f>
        <v>25000</v>
      </c>
      <c r="AH16" s="113">
        <f t="shared" si="1"/>
        <v>97856</v>
      </c>
      <c r="AI16" s="113">
        <f>AE16*Valores!$C$39</f>
        <v>-161534.38386800003</v>
      </c>
      <c r="AJ16" s="113">
        <f>IF(AE16&lt;Valores!$E$40,-0.02,IF(AE16&lt;Valores!$F$40,-0.03,-0.04))*AE16</f>
        <v>-58739.775952000011</v>
      </c>
      <c r="AK16" s="113">
        <f>AE16*Valores!$C$42</f>
        <v>-80767.191934000017</v>
      </c>
      <c r="AL16" s="113">
        <f>Valores!$C$56</f>
        <v>-1270.1600000000001</v>
      </c>
      <c r="AM16" s="113">
        <f>IF($F$5=0,Valores!$C$57,(Valores!$C$57+$F$5*(Valores!$C$57)))</f>
        <v>-7026</v>
      </c>
      <c r="AN16" s="113">
        <f t="shared" si="6"/>
        <v>1257012.8870460002</v>
      </c>
      <c r="AO16" s="113">
        <f t="shared" si="0"/>
        <v>-161534.38386800003</v>
      </c>
      <c r="AP16" s="113">
        <f t="shared" si="7"/>
        <v>-58739.775952000011</v>
      </c>
      <c r="AQ16" s="113">
        <f>AE16*Valores!$C$43</f>
        <v>-39649.348767600008</v>
      </c>
      <c r="AR16" s="113">
        <f>AE16*Valores!$C$44</f>
        <v>-4405.4831964000014</v>
      </c>
      <c r="AS16" s="113">
        <f t="shared" si="2"/>
        <v>1302021.4070160002</v>
      </c>
      <c r="AT16" s="113">
        <f>AE16*Valores!$C$46</f>
        <v>234959.10380800004</v>
      </c>
      <c r="AU16" s="113">
        <f>AE16*Valores!$C$47</f>
        <v>102794.60791600004</v>
      </c>
      <c r="AV16" s="113">
        <f>AE16*Valores!$C$48</f>
        <v>14684.943988000003</v>
      </c>
      <c r="AW16" s="113">
        <f>AE16*Valores!$C$50</f>
        <v>51397.303958000019</v>
      </c>
      <c r="AX16" s="113">
        <f>AE16*Valores!$C$52</f>
        <v>79298.697535200015</v>
      </c>
      <c r="AY16" s="113">
        <f>AE16*Valores!$C$51</f>
        <v>8810.9663928000027</v>
      </c>
      <c r="AZ16" s="114">
        <v>33</v>
      </c>
      <c r="BA16" s="114">
        <v>45</v>
      </c>
      <c r="BB16" s="111" t="s">
        <v>8</v>
      </c>
    </row>
    <row r="17" spans="1:54" s="100" customFormat="1" ht="11.25" customHeight="1" x14ac:dyDescent="0.15">
      <c r="A17" s="111" t="s">
        <v>90</v>
      </c>
      <c r="B17" s="111">
        <v>1</v>
      </c>
      <c r="C17" s="114">
        <v>10</v>
      </c>
      <c r="D17" s="112" t="s">
        <v>91</v>
      </c>
      <c r="E17" s="169">
        <v>100</v>
      </c>
      <c r="F17" s="113">
        <f>ROUND(E17*Valores!$C$2,2)</f>
        <v>9780.6</v>
      </c>
      <c r="G17" s="169">
        <v>3727</v>
      </c>
      <c r="H17" s="113">
        <f>ROUND(G17*Valores!$C$2,2)</f>
        <v>364522.96</v>
      </c>
      <c r="I17" s="169">
        <v>219</v>
      </c>
      <c r="J17" s="113">
        <f>ROUND(I17*Valores!$C$2,2)</f>
        <v>21419.51</v>
      </c>
      <c r="K17" s="169">
        <v>0</v>
      </c>
      <c r="L17" s="113">
        <f>ROUND(K17*Valores!$C$2,2)</f>
        <v>0</v>
      </c>
      <c r="M17" s="113">
        <f>ROUND(IF($H$2=0,IF(AND(A17&lt;&gt;"13-930",A17&lt;&gt;"13-940"),(SUM(F17,H17,J17,L17,W17,S17,Q17)*Valores!$C$4),0),0),2)</f>
        <v>109569.93</v>
      </c>
      <c r="N17" s="113">
        <f t="shared" si="3"/>
        <v>0</v>
      </c>
      <c r="O17" s="113">
        <f>Valores!C$67</f>
        <v>159756.76</v>
      </c>
      <c r="P17" s="113">
        <f>Valores!$D$5</f>
        <v>49998.43</v>
      </c>
      <c r="Q17" s="113">
        <f>IF($F$4="NO",Valores!$C$25,Valores!$C$25/2)</f>
        <v>42556.65</v>
      </c>
      <c r="R17" s="113">
        <v>0</v>
      </c>
      <c r="S17" s="113">
        <f t="shared" si="8"/>
        <v>0</v>
      </c>
      <c r="T17" s="113">
        <f t="shared" si="9"/>
        <v>395723.07</v>
      </c>
      <c r="U17" s="113">
        <f t="shared" si="10"/>
        <v>158289.228</v>
      </c>
      <c r="V17" s="169">
        <v>0</v>
      </c>
      <c r="W17" s="113">
        <f>ROUND(V17*Valores!$C$2,2)</f>
        <v>0</v>
      </c>
      <c r="X17" s="113">
        <v>0</v>
      </c>
      <c r="Y17" s="188">
        <v>0</v>
      </c>
      <c r="Z17" s="113">
        <f t="shared" si="4"/>
        <v>0</v>
      </c>
      <c r="AA17" s="169">
        <v>0</v>
      </c>
      <c r="AB17" s="113">
        <f>ROUND(AA17*Valores!$C$2,2)</f>
        <v>0</v>
      </c>
      <c r="AC17" s="113">
        <f>ROUND(IF($F$4="NO",Valores!$C$32,Valores!$C$32/2),2)</f>
        <v>23377.77</v>
      </c>
      <c r="AD17" s="113">
        <f>SUM(F17,H17,J17,L17,M17,N17,O17,P17,Q17,S17,T17,U17,W17,X17,Z17,AB17,AC17)*Valores!$C$58</f>
        <v>133499.49080000003</v>
      </c>
      <c r="AE17" s="113">
        <f t="shared" si="5"/>
        <v>1468494.3988000003</v>
      </c>
      <c r="AF17" s="113">
        <f>Valores!$C$12</f>
        <v>72856</v>
      </c>
      <c r="AG17" s="113">
        <f>Valores!$C$59</f>
        <v>25000</v>
      </c>
      <c r="AH17" s="113">
        <f t="shared" si="1"/>
        <v>97856</v>
      </c>
      <c r="AI17" s="113">
        <f>AE17*Valores!$C$39</f>
        <v>-161534.38386800003</v>
      </c>
      <c r="AJ17" s="113">
        <f>IF(AE17&lt;Valores!$E$40,-0.02,IF(AE17&lt;Valores!$F$40,-0.03,-0.04))*AE17</f>
        <v>-58739.775952000011</v>
      </c>
      <c r="AK17" s="113">
        <f>AE17*Valores!$C$42</f>
        <v>-80767.191934000017</v>
      </c>
      <c r="AL17" s="113">
        <f>Valores!$C$56</f>
        <v>-1270.1600000000001</v>
      </c>
      <c r="AM17" s="113">
        <f>IF($F$5=0,Valores!$C$57,(Valores!$C$57+$F$5*(Valores!$C$57)))</f>
        <v>-7026</v>
      </c>
      <c r="AN17" s="113">
        <f t="shared" si="6"/>
        <v>1257012.8870460002</v>
      </c>
      <c r="AO17" s="113">
        <f t="shared" si="0"/>
        <v>-161534.38386800003</v>
      </c>
      <c r="AP17" s="113">
        <f t="shared" si="7"/>
        <v>-58739.775952000011</v>
      </c>
      <c r="AQ17" s="113">
        <f>AE17*Valores!$C$43</f>
        <v>-39649.348767600008</v>
      </c>
      <c r="AR17" s="113">
        <f>AE17*Valores!$C$44</f>
        <v>-4405.4831964000014</v>
      </c>
      <c r="AS17" s="113">
        <f t="shared" si="2"/>
        <v>1302021.4070160002</v>
      </c>
      <c r="AT17" s="113">
        <f>AE17*Valores!$C$46</f>
        <v>234959.10380800004</v>
      </c>
      <c r="AU17" s="113">
        <f>AE17*Valores!$C$47</f>
        <v>102794.60791600004</v>
      </c>
      <c r="AV17" s="113">
        <f>AE17*Valores!$C$48</f>
        <v>14684.943988000003</v>
      </c>
      <c r="AW17" s="113">
        <f>AE17*Valores!$C$50</f>
        <v>51397.303958000019</v>
      </c>
      <c r="AX17" s="113">
        <f>AE17*Valores!$C$52</f>
        <v>79298.697535200015</v>
      </c>
      <c r="AY17" s="113">
        <f>AE17*Valores!$C$51</f>
        <v>8810.9663928000027</v>
      </c>
      <c r="AZ17" s="114">
        <v>33</v>
      </c>
      <c r="BA17" s="114">
        <v>45</v>
      </c>
      <c r="BB17" s="111" t="s">
        <v>8</v>
      </c>
    </row>
    <row r="18" spans="1:54" s="100" customFormat="1" ht="11.25" customHeight="1" x14ac:dyDescent="0.15">
      <c r="A18" s="111" t="s">
        <v>92</v>
      </c>
      <c r="B18" s="111">
        <v>1</v>
      </c>
      <c r="C18" s="114">
        <v>11</v>
      </c>
      <c r="D18" s="112" t="s">
        <v>93</v>
      </c>
      <c r="E18" s="169">
        <v>100</v>
      </c>
      <c r="F18" s="113">
        <f>ROUND(E18*Valores!$C$2,2)</f>
        <v>9780.6</v>
      </c>
      <c r="G18" s="169">
        <v>3727</v>
      </c>
      <c r="H18" s="113">
        <f>ROUND(G18*Valores!$C$2,2)</f>
        <v>364522.96</v>
      </c>
      <c r="I18" s="169">
        <v>219</v>
      </c>
      <c r="J18" s="113">
        <f>ROUND(I18*Valores!$C$2,2)</f>
        <v>21419.51</v>
      </c>
      <c r="K18" s="169">
        <v>0</v>
      </c>
      <c r="L18" s="113">
        <f>ROUND(K18*Valores!$C$2,2)</f>
        <v>0</v>
      </c>
      <c r="M18" s="113">
        <f>ROUND(IF($H$2=0,IF(AND(A18&lt;&gt;"13-930",A18&lt;&gt;"13-940"),(SUM(F18,H18,J18,L18,W18,S18,Q18)*Valores!$C$4),0),0),2)</f>
        <v>109569.93</v>
      </c>
      <c r="N18" s="113">
        <f t="shared" si="3"/>
        <v>0</v>
      </c>
      <c r="O18" s="113">
        <f>Valores!C$67</f>
        <v>159756.76</v>
      </c>
      <c r="P18" s="113">
        <f>Valores!$D$5</f>
        <v>49998.43</v>
      </c>
      <c r="Q18" s="113">
        <f>IF($F$4="NO",Valores!$C$25,Valores!$C$25/2)</f>
        <v>42556.65</v>
      </c>
      <c r="R18" s="113">
        <v>0</v>
      </c>
      <c r="S18" s="113">
        <f t="shared" si="8"/>
        <v>0</v>
      </c>
      <c r="T18" s="113">
        <f t="shared" si="9"/>
        <v>395723.07</v>
      </c>
      <c r="U18" s="113">
        <f t="shared" si="10"/>
        <v>158289.228</v>
      </c>
      <c r="V18" s="169">
        <v>0</v>
      </c>
      <c r="W18" s="113">
        <f>ROUND(V18*Valores!$C$2,2)</f>
        <v>0</v>
      </c>
      <c r="X18" s="113">
        <v>0</v>
      </c>
      <c r="Y18" s="188">
        <v>0</v>
      </c>
      <c r="Z18" s="113">
        <f t="shared" si="4"/>
        <v>0</v>
      </c>
      <c r="AA18" s="169">
        <v>0</v>
      </c>
      <c r="AB18" s="113">
        <f>ROUND(AA18*Valores!$C$2,2)</f>
        <v>0</v>
      </c>
      <c r="AC18" s="113">
        <f>ROUND(IF($F$4="NO",Valores!$C$32,Valores!$C$32/2),2)</f>
        <v>23377.77</v>
      </c>
      <c r="AD18" s="113">
        <f>SUM(F18,H18,J18,L18,M18,N18,O18,P18,Q18,S18,T18,U18,W18,X18,Z18,AB18,AC18)*Valores!$C$58</f>
        <v>133499.49080000003</v>
      </c>
      <c r="AE18" s="113">
        <f t="shared" si="5"/>
        <v>1468494.3988000003</v>
      </c>
      <c r="AF18" s="113">
        <f>Valores!$C$12</f>
        <v>72856</v>
      </c>
      <c r="AG18" s="113">
        <f>Valores!$C$59</f>
        <v>25000</v>
      </c>
      <c r="AH18" s="113">
        <f t="shared" si="1"/>
        <v>97856</v>
      </c>
      <c r="AI18" s="113">
        <f>AE18*Valores!$C$39</f>
        <v>-161534.38386800003</v>
      </c>
      <c r="AJ18" s="113">
        <f>IF(AE18&lt;Valores!$E$40,-0.02,IF(AE18&lt;Valores!$F$40,-0.03,-0.04))*AE18</f>
        <v>-58739.775952000011</v>
      </c>
      <c r="AK18" s="113">
        <f>AE18*Valores!$C$42</f>
        <v>-80767.191934000017</v>
      </c>
      <c r="AL18" s="113">
        <f>Valores!$C$56</f>
        <v>-1270.1600000000001</v>
      </c>
      <c r="AM18" s="113">
        <f>IF($F$5=0,Valores!$C$57,(Valores!$C$57+$F$5*(Valores!$C$57)))</f>
        <v>-7026</v>
      </c>
      <c r="AN18" s="113">
        <f t="shared" si="6"/>
        <v>1257012.8870460002</v>
      </c>
      <c r="AO18" s="113">
        <f t="shared" si="0"/>
        <v>-161534.38386800003</v>
      </c>
      <c r="AP18" s="113">
        <f t="shared" si="7"/>
        <v>-58739.775952000011</v>
      </c>
      <c r="AQ18" s="113">
        <f>AE18*Valores!$C$43</f>
        <v>-39649.348767600008</v>
      </c>
      <c r="AR18" s="113">
        <f>AE18*Valores!$C$44</f>
        <v>-4405.4831964000014</v>
      </c>
      <c r="AS18" s="113">
        <f t="shared" si="2"/>
        <v>1302021.4070160002</v>
      </c>
      <c r="AT18" s="113">
        <f>AE18*Valores!$C$46</f>
        <v>234959.10380800004</v>
      </c>
      <c r="AU18" s="113">
        <f>AE18*Valores!$C$47</f>
        <v>102794.60791600004</v>
      </c>
      <c r="AV18" s="113">
        <f>AE18*Valores!$C$48</f>
        <v>14684.943988000003</v>
      </c>
      <c r="AW18" s="113">
        <f>AE18*Valores!$C$50</f>
        <v>51397.303958000019</v>
      </c>
      <c r="AX18" s="113">
        <f>AE18*Valores!$C$52</f>
        <v>79298.697535200015</v>
      </c>
      <c r="AY18" s="113">
        <f>AE18*Valores!$C$51</f>
        <v>8810.9663928000027</v>
      </c>
      <c r="AZ18" s="114"/>
      <c r="BA18" s="114">
        <v>45</v>
      </c>
      <c r="BB18" s="111" t="s">
        <v>8</v>
      </c>
    </row>
    <row r="19" spans="1:54" s="100" customFormat="1" ht="11.25" customHeight="1" x14ac:dyDescent="0.15">
      <c r="A19" s="111" t="s">
        <v>94</v>
      </c>
      <c r="B19" s="111">
        <v>1</v>
      </c>
      <c r="C19" s="114">
        <v>12</v>
      </c>
      <c r="D19" s="112" t="s">
        <v>95</v>
      </c>
      <c r="E19" s="169">
        <v>100</v>
      </c>
      <c r="F19" s="113">
        <f>ROUND(E19*Valores!$C$2,2)</f>
        <v>9780.6</v>
      </c>
      <c r="G19" s="169">
        <v>3727</v>
      </c>
      <c r="H19" s="113">
        <f>ROUND(G19*Valores!$C$2,2)</f>
        <v>364522.96</v>
      </c>
      <c r="I19" s="169">
        <v>219</v>
      </c>
      <c r="J19" s="113">
        <f>ROUND(I19*Valores!$C$2,2)</f>
        <v>21419.51</v>
      </c>
      <c r="K19" s="169">
        <v>0</v>
      </c>
      <c r="L19" s="113">
        <f>ROUND(K19*Valores!$C$2,2)</f>
        <v>0</v>
      </c>
      <c r="M19" s="113">
        <f>ROUND(IF($H$2=0,IF(AND(A19&lt;&gt;"13-930",A19&lt;&gt;"13-940"),(SUM(F19,H19,J19,L19,W19,S19,Q19)*Valores!$C$4),0),0),2)</f>
        <v>109569.93</v>
      </c>
      <c r="N19" s="113">
        <f t="shared" si="3"/>
        <v>0</v>
      </c>
      <c r="O19" s="113">
        <f>Valores!C$67</f>
        <v>159756.76</v>
      </c>
      <c r="P19" s="113">
        <f>Valores!$D$5</f>
        <v>49998.43</v>
      </c>
      <c r="Q19" s="113">
        <f>IF($F$4="NO",Valores!$C$25,Valores!$C$25/2)</f>
        <v>42556.65</v>
      </c>
      <c r="R19" s="113">
        <v>0</v>
      </c>
      <c r="S19" s="113">
        <f t="shared" si="8"/>
        <v>0</v>
      </c>
      <c r="T19" s="113">
        <f t="shared" si="9"/>
        <v>395723.07</v>
      </c>
      <c r="U19" s="113">
        <f t="shared" si="10"/>
        <v>158289.228</v>
      </c>
      <c r="V19" s="169">
        <v>0</v>
      </c>
      <c r="W19" s="113">
        <f>ROUND(V19*Valores!$C$2,2)</f>
        <v>0</v>
      </c>
      <c r="X19" s="113">
        <v>0</v>
      </c>
      <c r="Y19" s="188">
        <v>0</v>
      </c>
      <c r="Z19" s="113">
        <f t="shared" si="4"/>
        <v>0</v>
      </c>
      <c r="AA19" s="169">
        <v>0</v>
      </c>
      <c r="AB19" s="113">
        <f>ROUND(AA19*Valores!$C$2,2)</f>
        <v>0</v>
      </c>
      <c r="AC19" s="113">
        <f>ROUND(IF($F$4="NO",Valores!$C$32,Valores!$C$32/2),2)</f>
        <v>23377.77</v>
      </c>
      <c r="AD19" s="113">
        <f>SUM(F19,H19,J19,L19,M19,N19,O19,P19,Q19,S19,T19,U19,W19,X19,Z19,AB19,AC19)*Valores!$C$58</f>
        <v>133499.49080000003</v>
      </c>
      <c r="AE19" s="113">
        <f t="shared" si="5"/>
        <v>1468494.3988000003</v>
      </c>
      <c r="AF19" s="113">
        <f>Valores!$C$12</f>
        <v>72856</v>
      </c>
      <c r="AG19" s="113">
        <f>Valores!$C$59</f>
        <v>25000</v>
      </c>
      <c r="AH19" s="113">
        <f t="shared" si="1"/>
        <v>97856</v>
      </c>
      <c r="AI19" s="113">
        <f>AE19*Valores!$C$39</f>
        <v>-161534.38386800003</v>
      </c>
      <c r="AJ19" s="113">
        <f>IF(AE19&lt;Valores!$E$40,-0.02,IF(AE19&lt;Valores!$F$40,-0.03,-0.04))*AE19</f>
        <v>-58739.775952000011</v>
      </c>
      <c r="AK19" s="113">
        <f>AE19*Valores!$C$42</f>
        <v>-80767.191934000017</v>
      </c>
      <c r="AL19" s="113">
        <f>Valores!$C$56</f>
        <v>-1270.1600000000001</v>
      </c>
      <c r="AM19" s="113">
        <f>IF($F$5=0,Valores!$C$57,(Valores!$C$57+$F$5*(Valores!$C$57)))</f>
        <v>-7026</v>
      </c>
      <c r="AN19" s="113">
        <f t="shared" si="6"/>
        <v>1257012.8870460002</v>
      </c>
      <c r="AO19" s="113">
        <f t="shared" si="0"/>
        <v>-161534.38386800003</v>
      </c>
      <c r="AP19" s="113">
        <f t="shared" si="7"/>
        <v>-58739.775952000011</v>
      </c>
      <c r="AQ19" s="113">
        <f>AE19*Valores!$C$43</f>
        <v>-39649.348767600008</v>
      </c>
      <c r="AR19" s="113">
        <f>AE19*Valores!$C$44</f>
        <v>-4405.4831964000014</v>
      </c>
      <c r="AS19" s="113">
        <f t="shared" si="2"/>
        <v>1302021.4070160002</v>
      </c>
      <c r="AT19" s="113">
        <f>AE19*Valores!$C$46</f>
        <v>234959.10380800004</v>
      </c>
      <c r="AU19" s="113">
        <f>AE19*Valores!$C$47</f>
        <v>102794.60791600004</v>
      </c>
      <c r="AV19" s="113">
        <f>AE19*Valores!$C$48</f>
        <v>14684.943988000003</v>
      </c>
      <c r="AW19" s="113">
        <f>AE19*Valores!$C$50</f>
        <v>51397.303958000019</v>
      </c>
      <c r="AX19" s="113">
        <f>AE19*Valores!$C$52</f>
        <v>79298.697535200015</v>
      </c>
      <c r="AY19" s="113">
        <f>AE19*Valores!$C$51</f>
        <v>8810.9663928000027</v>
      </c>
      <c r="AZ19" s="114"/>
      <c r="BA19" s="114">
        <v>45</v>
      </c>
      <c r="BB19" s="111" t="s">
        <v>8</v>
      </c>
    </row>
    <row r="20" spans="1:54" s="100" customFormat="1" ht="11.25" customHeight="1" x14ac:dyDescent="0.15">
      <c r="A20" s="111" t="s">
        <v>96</v>
      </c>
      <c r="B20" s="111">
        <v>1</v>
      </c>
      <c r="C20" s="114">
        <v>13</v>
      </c>
      <c r="D20" s="112" t="s">
        <v>97</v>
      </c>
      <c r="E20" s="169">
        <v>100</v>
      </c>
      <c r="F20" s="113">
        <f>ROUND(E20*Valores!$C$2,2)</f>
        <v>9780.6</v>
      </c>
      <c r="G20" s="169">
        <v>3727</v>
      </c>
      <c r="H20" s="113">
        <f>ROUND(G20*Valores!$C$2,2)</f>
        <v>364522.96</v>
      </c>
      <c r="I20" s="169">
        <v>219</v>
      </c>
      <c r="J20" s="113">
        <f>ROUND(I20*Valores!$C$2,2)</f>
        <v>21419.51</v>
      </c>
      <c r="K20" s="169">
        <v>0</v>
      </c>
      <c r="L20" s="113">
        <f>ROUND(K20*Valores!$C$2,2)</f>
        <v>0</v>
      </c>
      <c r="M20" s="113">
        <f>ROUND(IF($H$2=0,IF(AND(A20&lt;&gt;"13-930",A20&lt;&gt;"13-940"),(SUM(F20,H20,J20,L20,W20,S20,Q20)*Valores!$C$4),0),0),2)</f>
        <v>109569.93</v>
      </c>
      <c r="N20" s="113">
        <f t="shared" si="3"/>
        <v>0</v>
      </c>
      <c r="O20" s="113">
        <f>Valores!C$67</f>
        <v>159756.76</v>
      </c>
      <c r="P20" s="113">
        <f>Valores!$D$5</f>
        <v>49998.43</v>
      </c>
      <c r="Q20" s="113">
        <f>IF($F$4="NO",Valores!$C$25,Valores!$C$25/2)</f>
        <v>42556.65</v>
      </c>
      <c r="R20" s="113">
        <v>0</v>
      </c>
      <c r="S20" s="113">
        <f t="shared" si="8"/>
        <v>0</v>
      </c>
      <c r="T20" s="113">
        <f t="shared" si="9"/>
        <v>395723.07</v>
      </c>
      <c r="U20" s="113">
        <f t="shared" si="10"/>
        <v>158289.228</v>
      </c>
      <c r="V20" s="169">
        <v>0</v>
      </c>
      <c r="W20" s="113">
        <f>ROUND(V20*Valores!$C$2,2)</f>
        <v>0</v>
      </c>
      <c r="X20" s="113">
        <v>0</v>
      </c>
      <c r="Y20" s="188">
        <v>0</v>
      </c>
      <c r="Z20" s="113">
        <f t="shared" si="4"/>
        <v>0</v>
      </c>
      <c r="AA20" s="169">
        <v>0</v>
      </c>
      <c r="AB20" s="113">
        <f>ROUND(AA20*Valores!$C$2,2)</f>
        <v>0</v>
      </c>
      <c r="AC20" s="113">
        <f>ROUND(IF($F$4="NO",Valores!$C$32,Valores!$C$32/2),2)</f>
        <v>23377.77</v>
      </c>
      <c r="AD20" s="113">
        <f>SUM(F20,H20,J20,L20,M20,N20,O20,P20,Q20,S20,T20,U20,W20,X20,Z20,AB20,AC20)*Valores!$C$58</f>
        <v>133499.49080000003</v>
      </c>
      <c r="AE20" s="113">
        <f t="shared" si="5"/>
        <v>1468494.3988000003</v>
      </c>
      <c r="AF20" s="113">
        <f>Valores!$C$12</f>
        <v>72856</v>
      </c>
      <c r="AG20" s="113">
        <f>Valores!$C$59</f>
        <v>25000</v>
      </c>
      <c r="AH20" s="113">
        <f t="shared" si="1"/>
        <v>97856</v>
      </c>
      <c r="AI20" s="113">
        <f>AE20*Valores!$C$39</f>
        <v>-161534.38386800003</v>
      </c>
      <c r="AJ20" s="113">
        <f>IF(AE20&lt;Valores!$E$40,-0.02,IF(AE20&lt;Valores!$F$40,-0.03,-0.04))*AE20</f>
        <v>-58739.775952000011</v>
      </c>
      <c r="AK20" s="113">
        <f>AE20*Valores!$C$42</f>
        <v>-80767.191934000017</v>
      </c>
      <c r="AL20" s="113">
        <f>Valores!$C$56</f>
        <v>-1270.1600000000001</v>
      </c>
      <c r="AM20" s="113">
        <f>IF($F$5=0,Valores!$C$57,(Valores!$C$57+$F$5*(Valores!$C$57)))</f>
        <v>-7026</v>
      </c>
      <c r="AN20" s="113">
        <f t="shared" si="6"/>
        <v>1257012.8870460002</v>
      </c>
      <c r="AO20" s="113">
        <f t="shared" si="0"/>
        <v>-161534.38386800003</v>
      </c>
      <c r="AP20" s="113">
        <f t="shared" si="7"/>
        <v>-58739.775952000011</v>
      </c>
      <c r="AQ20" s="113">
        <f>AE20*Valores!$C$43</f>
        <v>-39649.348767600008</v>
      </c>
      <c r="AR20" s="113">
        <f>AE20*Valores!$C$44</f>
        <v>-4405.4831964000014</v>
      </c>
      <c r="AS20" s="113">
        <f t="shared" si="2"/>
        <v>1302021.4070160002</v>
      </c>
      <c r="AT20" s="113">
        <f>AE20*Valores!$C$46</f>
        <v>234959.10380800004</v>
      </c>
      <c r="AU20" s="113">
        <f>AE20*Valores!$C$47</f>
        <v>102794.60791600004</v>
      </c>
      <c r="AV20" s="113">
        <f>AE20*Valores!$C$48</f>
        <v>14684.943988000003</v>
      </c>
      <c r="AW20" s="113">
        <f>AE20*Valores!$C$50</f>
        <v>51397.303958000019</v>
      </c>
      <c r="AX20" s="113">
        <f>AE20*Valores!$C$52</f>
        <v>79298.697535200015</v>
      </c>
      <c r="AY20" s="113">
        <f>AE20*Valores!$C$51</f>
        <v>8810.9663928000027</v>
      </c>
      <c r="AZ20" s="114"/>
      <c r="BA20" s="114">
        <v>45</v>
      </c>
      <c r="BB20" s="111" t="s">
        <v>8</v>
      </c>
    </row>
    <row r="21" spans="1:54" s="100" customFormat="1" ht="11.25" customHeight="1" x14ac:dyDescent="0.15">
      <c r="A21" s="111" t="s">
        <v>98</v>
      </c>
      <c r="B21" s="111">
        <v>1</v>
      </c>
      <c r="C21" s="114">
        <v>14</v>
      </c>
      <c r="D21" s="112" t="s">
        <v>99</v>
      </c>
      <c r="E21" s="169">
        <v>107</v>
      </c>
      <c r="F21" s="113">
        <f>ROUND(E21*Valores!$C$2,2)</f>
        <v>10465.24</v>
      </c>
      <c r="G21" s="169">
        <v>3720</v>
      </c>
      <c r="H21" s="113">
        <f>ROUND(G21*Valores!$C$2,2)</f>
        <v>363838.32</v>
      </c>
      <c r="I21" s="169">
        <v>1226</v>
      </c>
      <c r="J21" s="113">
        <f>ROUND(I21*Valores!$C$2,2)</f>
        <v>119910.16</v>
      </c>
      <c r="K21" s="169">
        <v>0</v>
      </c>
      <c r="L21" s="113">
        <f>ROUND(K21*Valores!$C$2,2)</f>
        <v>0</v>
      </c>
      <c r="M21" s="113">
        <f>ROUND(IF($H$2=0,IF(AND(A21&lt;&gt;"13-930",A21&lt;&gt;"13-940"),(SUM(F21,H21,J21,L21,W21,S21,Q21)*Valores!$C$4),0),0),2)</f>
        <v>148250.06</v>
      </c>
      <c r="N21" s="113">
        <f t="shared" si="3"/>
        <v>0</v>
      </c>
      <c r="O21" s="113">
        <f>Valores!C$90</f>
        <v>362892.97</v>
      </c>
      <c r="P21" s="113">
        <f>Valores!$D$5</f>
        <v>49998.43</v>
      </c>
      <c r="Q21" s="113">
        <f>IF($F$4="NO",Valores!$C$26,Valores!$C$26/2)</f>
        <v>52265.18</v>
      </c>
      <c r="R21" s="113">
        <f>Valores!$C$8</f>
        <v>46521.33</v>
      </c>
      <c r="S21" s="113">
        <f t="shared" si="8"/>
        <v>46521.33</v>
      </c>
      <c r="T21" s="113">
        <v>0</v>
      </c>
      <c r="U21" s="113">
        <v>0</v>
      </c>
      <c r="V21" s="169">
        <v>0</v>
      </c>
      <c r="W21" s="113">
        <f>ROUND(V21*Valores!$C$2,2)</f>
        <v>0</v>
      </c>
      <c r="X21" s="113">
        <v>0</v>
      </c>
      <c r="Y21" s="188">
        <v>0</v>
      </c>
      <c r="Z21" s="113">
        <f t="shared" si="4"/>
        <v>0</v>
      </c>
      <c r="AA21" s="169">
        <v>0</v>
      </c>
      <c r="AB21" s="113">
        <f>ROUND(AA21*Valores!$C$2,2)</f>
        <v>0</v>
      </c>
      <c r="AC21" s="113">
        <f>ROUND(IF($F$4="NO",Valores!$C$32,Valores!$C$32/2),2)</f>
        <v>23377.77</v>
      </c>
      <c r="AD21" s="113">
        <f>SUM(F21,H21,J21,L21,M21,N21,O21,P21,Q21,S21,T21,U21,W21,X21,Z21,AB21,AC21)*Valores!$C$58</f>
        <v>117751.946</v>
      </c>
      <c r="AE21" s="113">
        <f t="shared" si="5"/>
        <v>1295271.406</v>
      </c>
      <c r="AF21" s="113">
        <f>Valores!$C$12</f>
        <v>72856</v>
      </c>
      <c r="AG21" s="113">
        <f>Valores!$C$59</f>
        <v>25000</v>
      </c>
      <c r="AH21" s="113">
        <f t="shared" si="1"/>
        <v>97856</v>
      </c>
      <c r="AI21" s="113">
        <f>AE21*Valores!$C$39</f>
        <v>-142479.85465999998</v>
      </c>
      <c r="AJ21" s="113">
        <f>IF(AE21&lt;Valores!$E$40,-0.02,IF(AE21&lt;Valores!$F$40,-0.03,-0.04))*AE21</f>
        <v>-51810.856240000001</v>
      </c>
      <c r="AK21" s="113">
        <f>AE21*Valores!$C$42</f>
        <v>-71239.927329999991</v>
      </c>
      <c r="AL21" s="113">
        <f>Valores!$C$56</f>
        <v>-1270.1600000000001</v>
      </c>
      <c r="AM21" s="113">
        <f>IF($F$5=0,Valores!$C$57,(Valores!$C$57+$F$5*(Valores!$C$57)))</f>
        <v>-7026</v>
      </c>
      <c r="AN21" s="113">
        <f t="shared" si="6"/>
        <v>1119300.6077699999</v>
      </c>
      <c r="AO21" s="113">
        <f t="shared" si="0"/>
        <v>-142479.85465999998</v>
      </c>
      <c r="AP21" s="113">
        <f t="shared" si="7"/>
        <v>-51810.856240000001</v>
      </c>
      <c r="AQ21" s="113">
        <f>AE21*Valores!$C$43</f>
        <v>-34972.327961999996</v>
      </c>
      <c r="AR21" s="113">
        <f>AE21*Valores!$C$44</f>
        <v>-3885.814218</v>
      </c>
      <c r="AS21" s="113">
        <f t="shared" si="2"/>
        <v>1159978.5529199999</v>
      </c>
      <c r="AT21" s="113">
        <f>AE21*Valores!$C$46</f>
        <v>207243.42496</v>
      </c>
      <c r="AU21" s="113">
        <f>AE21*Valores!$C$47</f>
        <v>90668.998420000004</v>
      </c>
      <c r="AV21" s="113">
        <f>AE21*Valores!$C$48</f>
        <v>12952.71406</v>
      </c>
      <c r="AW21" s="113">
        <f>AE21*Valores!$C$50</f>
        <v>45334.499210000002</v>
      </c>
      <c r="AX21" s="113">
        <f>AE21*Valores!$C$52</f>
        <v>69944.655923999992</v>
      </c>
      <c r="AY21" s="113">
        <f>AE21*Valores!$C$51</f>
        <v>7771.628436</v>
      </c>
      <c r="AZ21" s="114"/>
      <c r="BA21" s="114">
        <v>45</v>
      </c>
      <c r="BB21" s="111" t="s">
        <v>4</v>
      </c>
    </row>
    <row r="22" spans="1:54" s="100" customFormat="1" ht="11.25" customHeight="1" x14ac:dyDescent="0.15">
      <c r="A22" s="111" t="s">
        <v>100</v>
      </c>
      <c r="B22" s="111">
        <v>1</v>
      </c>
      <c r="C22" s="114">
        <v>15</v>
      </c>
      <c r="D22" s="112" t="s">
        <v>101</v>
      </c>
      <c r="E22" s="169">
        <v>100</v>
      </c>
      <c r="F22" s="113">
        <f>ROUND(E22*Valores!$C$2,2)</f>
        <v>9780.6</v>
      </c>
      <c r="G22" s="169">
        <v>3727</v>
      </c>
      <c r="H22" s="113">
        <f>ROUND(G22*Valores!$C$2,2)</f>
        <v>364522.96</v>
      </c>
      <c r="I22" s="169">
        <v>219</v>
      </c>
      <c r="J22" s="113">
        <f>ROUND(I22*Valores!$C$2,2)</f>
        <v>21419.51</v>
      </c>
      <c r="K22" s="169">
        <v>0</v>
      </c>
      <c r="L22" s="113">
        <f>ROUND(K22*Valores!$C$2,2)</f>
        <v>0</v>
      </c>
      <c r="M22" s="113">
        <f>ROUND(IF($H$2=0,IF(AND(A22&lt;&gt;"13-930",A22&lt;&gt;"13-940"),(SUM(F22,H22,J22,L22,W22,S22,Q22)*Valores!$C$4),0),0),2)</f>
        <v>109569.93</v>
      </c>
      <c r="N22" s="113">
        <f t="shared" si="3"/>
        <v>0</v>
      </c>
      <c r="O22" s="113">
        <f>Valores!C$67</f>
        <v>159756.76</v>
      </c>
      <c r="P22" s="113">
        <f>Valores!$D$5</f>
        <v>49998.43</v>
      </c>
      <c r="Q22" s="113">
        <f>IF($F$4="NO",Valores!$C$25,Valores!$C$25/2)</f>
        <v>42556.65</v>
      </c>
      <c r="R22" s="113">
        <v>0</v>
      </c>
      <c r="S22" s="113">
        <f t="shared" si="8"/>
        <v>0</v>
      </c>
      <c r="T22" s="113">
        <f t="shared" ref="T22:T24" si="11">F22+H22+J22</f>
        <v>395723.07</v>
      </c>
      <c r="U22" s="113">
        <f t="shared" ref="U22:U24" si="12">T22*0.4</f>
        <v>158289.228</v>
      </c>
      <c r="V22" s="169">
        <v>0</v>
      </c>
      <c r="W22" s="113">
        <f>ROUND(V22*Valores!$C$2,2)</f>
        <v>0</v>
      </c>
      <c r="X22" s="113">
        <v>0</v>
      </c>
      <c r="Y22" s="188">
        <v>0</v>
      </c>
      <c r="Z22" s="113">
        <f t="shared" si="4"/>
        <v>0</v>
      </c>
      <c r="AA22" s="169">
        <v>0</v>
      </c>
      <c r="AB22" s="113">
        <f>ROUND(AA22*Valores!$C$2,2)</f>
        <v>0</v>
      </c>
      <c r="AC22" s="113">
        <f>ROUND(IF($F$4="NO",Valores!$C$32,Valores!$C$32/2),2)</f>
        <v>23377.77</v>
      </c>
      <c r="AD22" s="113">
        <f>SUM(F22,H22,J22,L22,M22,N22,O22,P22,Q22,S22,T22,U22,W22,X22,Z22,AB22,AC22)*Valores!$C$58</f>
        <v>133499.49080000003</v>
      </c>
      <c r="AE22" s="113">
        <f t="shared" si="5"/>
        <v>1468494.3988000003</v>
      </c>
      <c r="AF22" s="113">
        <f>Valores!$C$12</f>
        <v>72856</v>
      </c>
      <c r="AG22" s="113">
        <f>Valores!$C$59</f>
        <v>25000</v>
      </c>
      <c r="AH22" s="113">
        <f t="shared" si="1"/>
        <v>97856</v>
      </c>
      <c r="AI22" s="113">
        <f>AE22*Valores!$C$39</f>
        <v>-161534.38386800003</v>
      </c>
      <c r="AJ22" s="113">
        <f>IF(AE22&lt;Valores!$E$40,-0.02,IF(AE22&lt;Valores!$F$40,-0.03,-0.04))*AE22</f>
        <v>-58739.775952000011</v>
      </c>
      <c r="AK22" s="113">
        <f>AE22*Valores!$C$42</f>
        <v>-80767.191934000017</v>
      </c>
      <c r="AL22" s="113">
        <f>Valores!$C$56</f>
        <v>-1270.1600000000001</v>
      </c>
      <c r="AM22" s="113">
        <f>IF($F$5=0,Valores!$C$57,(Valores!$C$57+$F$5*(Valores!$C$57)))</f>
        <v>-7026</v>
      </c>
      <c r="AN22" s="113">
        <f t="shared" si="6"/>
        <v>1257012.8870460002</v>
      </c>
      <c r="AO22" s="113">
        <f t="shared" si="0"/>
        <v>-161534.38386800003</v>
      </c>
      <c r="AP22" s="113">
        <f t="shared" si="7"/>
        <v>-58739.775952000011</v>
      </c>
      <c r="AQ22" s="113">
        <f>AE22*Valores!$C$43</f>
        <v>-39649.348767600008</v>
      </c>
      <c r="AR22" s="113">
        <f>AE22*Valores!$C$44</f>
        <v>-4405.4831964000014</v>
      </c>
      <c r="AS22" s="113">
        <f t="shared" si="2"/>
        <v>1302021.4070160002</v>
      </c>
      <c r="AT22" s="113">
        <f>AE22*Valores!$C$46</f>
        <v>234959.10380800004</v>
      </c>
      <c r="AU22" s="113">
        <f>AE22*Valores!$C$47</f>
        <v>102794.60791600004</v>
      </c>
      <c r="AV22" s="113">
        <f>AE22*Valores!$C$48</f>
        <v>14684.943988000003</v>
      </c>
      <c r="AW22" s="113">
        <f>AE22*Valores!$C$50</f>
        <v>51397.303958000019</v>
      </c>
      <c r="AX22" s="113">
        <f>AE22*Valores!$C$52</f>
        <v>79298.697535200015</v>
      </c>
      <c r="AY22" s="113">
        <f>AE22*Valores!$C$51</f>
        <v>8810.9663928000027</v>
      </c>
      <c r="AZ22" s="114"/>
      <c r="BA22" s="114">
        <v>45</v>
      </c>
      <c r="BB22" s="111" t="s">
        <v>8</v>
      </c>
    </row>
    <row r="23" spans="1:54" s="100" customFormat="1" ht="11.25" customHeight="1" x14ac:dyDescent="0.15">
      <c r="A23" s="111" t="s">
        <v>102</v>
      </c>
      <c r="B23" s="111">
        <v>1</v>
      </c>
      <c r="C23" s="114">
        <v>16</v>
      </c>
      <c r="D23" s="112" t="s">
        <v>103</v>
      </c>
      <c r="E23" s="169">
        <v>100</v>
      </c>
      <c r="F23" s="113">
        <f>ROUND(E23*Valores!$C$2,2)</f>
        <v>9780.6</v>
      </c>
      <c r="G23" s="169">
        <v>3727</v>
      </c>
      <c r="H23" s="113">
        <f>ROUND(G23*Valores!$C$2,2)</f>
        <v>364522.96</v>
      </c>
      <c r="I23" s="169">
        <v>219</v>
      </c>
      <c r="J23" s="113">
        <f>ROUND(I23*Valores!$C$2,2)</f>
        <v>21419.51</v>
      </c>
      <c r="K23" s="169">
        <v>0</v>
      </c>
      <c r="L23" s="113">
        <f>ROUND(K23*Valores!$C$2,2)</f>
        <v>0</v>
      </c>
      <c r="M23" s="113">
        <f>ROUND(IF($H$2=0,IF(AND(A23&lt;&gt;"13-930",A23&lt;&gt;"13-940"),(SUM(F23,H23,J23,L23,W23,S23,Q23)*Valores!$C$4),0),0),2)</f>
        <v>109569.93</v>
      </c>
      <c r="N23" s="113">
        <f t="shared" si="3"/>
        <v>0</v>
      </c>
      <c r="O23" s="113">
        <f>Valores!C$67</f>
        <v>159756.76</v>
      </c>
      <c r="P23" s="113">
        <f>Valores!$D$5</f>
        <v>49998.43</v>
      </c>
      <c r="Q23" s="113">
        <f>IF($F$4="NO",Valores!$C$25,Valores!$C$25/2)</f>
        <v>42556.65</v>
      </c>
      <c r="R23" s="113">
        <v>0</v>
      </c>
      <c r="S23" s="113">
        <f t="shared" si="8"/>
        <v>0</v>
      </c>
      <c r="T23" s="113">
        <f t="shared" si="11"/>
        <v>395723.07</v>
      </c>
      <c r="U23" s="113">
        <f t="shared" si="12"/>
        <v>158289.228</v>
      </c>
      <c r="V23" s="169">
        <v>0</v>
      </c>
      <c r="W23" s="113">
        <f>ROUND(V23*Valores!$C$2,2)</f>
        <v>0</v>
      </c>
      <c r="X23" s="113">
        <v>0</v>
      </c>
      <c r="Y23" s="188">
        <v>0</v>
      </c>
      <c r="Z23" s="113">
        <f t="shared" si="4"/>
        <v>0</v>
      </c>
      <c r="AA23" s="169">
        <v>0</v>
      </c>
      <c r="AB23" s="113">
        <f>ROUND(AA23*Valores!$C$2,2)</f>
        <v>0</v>
      </c>
      <c r="AC23" s="113">
        <f>ROUND(IF($F$4="NO",Valores!$C$32,Valores!$C$32/2),2)</f>
        <v>23377.77</v>
      </c>
      <c r="AD23" s="113">
        <f>SUM(F23,H23,J23,L23,M23,N23,O23,P23,Q23,S23,T23,U23,W23,X23,Z23,AB23,AC23)*Valores!$C$58</f>
        <v>133499.49080000003</v>
      </c>
      <c r="AE23" s="113">
        <f t="shared" si="5"/>
        <v>1468494.3988000003</v>
      </c>
      <c r="AF23" s="113">
        <f>Valores!$C$12</f>
        <v>72856</v>
      </c>
      <c r="AG23" s="113">
        <f>Valores!$C$59</f>
        <v>25000</v>
      </c>
      <c r="AH23" s="113">
        <f t="shared" si="1"/>
        <v>97856</v>
      </c>
      <c r="AI23" s="113">
        <f>AE23*Valores!$C$39</f>
        <v>-161534.38386800003</v>
      </c>
      <c r="AJ23" s="113">
        <f>IF(AE23&lt;Valores!$E$40,-0.02,IF(AE23&lt;Valores!$F$40,-0.03,-0.04))*AE23</f>
        <v>-58739.775952000011</v>
      </c>
      <c r="AK23" s="113">
        <f>AE23*Valores!$C$42</f>
        <v>-80767.191934000017</v>
      </c>
      <c r="AL23" s="113">
        <f>Valores!$C$56</f>
        <v>-1270.1600000000001</v>
      </c>
      <c r="AM23" s="113">
        <f>IF($F$5=0,Valores!$C$57,(Valores!$C$57+$F$5*(Valores!$C$57)))</f>
        <v>-7026</v>
      </c>
      <c r="AN23" s="113">
        <f t="shared" si="6"/>
        <v>1257012.8870460002</v>
      </c>
      <c r="AO23" s="113">
        <f t="shared" si="0"/>
        <v>-161534.38386800003</v>
      </c>
      <c r="AP23" s="113">
        <f t="shared" si="7"/>
        <v>-58739.775952000011</v>
      </c>
      <c r="AQ23" s="113">
        <f>AE23*Valores!$C$43</f>
        <v>-39649.348767600008</v>
      </c>
      <c r="AR23" s="113">
        <f>AE23*Valores!$C$44</f>
        <v>-4405.4831964000014</v>
      </c>
      <c r="AS23" s="113">
        <f t="shared" si="2"/>
        <v>1302021.4070160002</v>
      </c>
      <c r="AT23" s="113">
        <f>AE23*Valores!$C$46</f>
        <v>234959.10380800004</v>
      </c>
      <c r="AU23" s="113">
        <f>AE23*Valores!$C$47</f>
        <v>102794.60791600004</v>
      </c>
      <c r="AV23" s="113">
        <f>AE23*Valores!$C$48</f>
        <v>14684.943988000003</v>
      </c>
      <c r="AW23" s="113">
        <f>AE23*Valores!$C$50</f>
        <v>51397.303958000019</v>
      </c>
      <c r="AX23" s="113">
        <f>AE23*Valores!$C$52</f>
        <v>79298.697535200015</v>
      </c>
      <c r="AY23" s="113">
        <f>AE23*Valores!$C$51</f>
        <v>8810.9663928000027</v>
      </c>
      <c r="AZ23" s="114"/>
      <c r="BA23" s="114">
        <v>45</v>
      </c>
      <c r="BB23" s="111" t="s">
        <v>8</v>
      </c>
    </row>
    <row r="24" spans="1:54" s="100" customFormat="1" ht="11.25" customHeight="1" x14ac:dyDescent="0.15">
      <c r="A24" s="111" t="s">
        <v>104</v>
      </c>
      <c r="B24" s="111">
        <v>1</v>
      </c>
      <c r="C24" s="114">
        <v>17</v>
      </c>
      <c r="D24" s="112" t="s">
        <v>105</v>
      </c>
      <c r="E24" s="169">
        <v>100</v>
      </c>
      <c r="F24" s="113">
        <f>ROUND(E24*Valores!$C$2,2)</f>
        <v>9780.6</v>
      </c>
      <c r="G24" s="169">
        <v>3727</v>
      </c>
      <c r="H24" s="113">
        <f>ROUND(G24*Valores!$C$2,2)</f>
        <v>364522.96</v>
      </c>
      <c r="I24" s="169">
        <v>219</v>
      </c>
      <c r="J24" s="113">
        <f>ROUND(I24*Valores!$C$2,2)</f>
        <v>21419.51</v>
      </c>
      <c r="K24" s="169">
        <v>0</v>
      </c>
      <c r="L24" s="113">
        <f>ROUND(K24*Valores!$C$2,2)</f>
        <v>0</v>
      </c>
      <c r="M24" s="113">
        <f>ROUND(IF($H$2=0,IF(AND(A24&lt;&gt;"13-930",A24&lt;&gt;"13-940"),(SUM(F24,H24,J24,L24,W24,S24,Q24)*Valores!$C$4),0),0),2)</f>
        <v>109569.93</v>
      </c>
      <c r="N24" s="113">
        <f t="shared" si="3"/>
        <v>0</v>
      </c>
      <c r="O24" s="113">
        <f>Valores!C$67</f>
        <v>159756.76</v>
      </c>
      <c r="P24" s="113">
        <f>Valores!$D$5</f>
        <v>49998.43</v>
      </c>
      <c r="Q24" s="113">
        <f>IF($F$4="NO",Valores!$C$25,Valores!$C$25/2)</f>
        <v>42556.65</v>
      </c>
      <c r="R24" s="113">
        <v>0</v>
      </c>
      <c r="S24" s="113">
        <f t="shared" si="8"/>
        <v>0</v>
      </c>
      <c r="T24" s="113">
        <f t="shared" si="11"/>
        <v>395723.07</v>
      </c>
      <c r="U24" s="113">
        <f t="shared" si="12"/>
        <v>158289.228</v>
      </c>
      <c r="V24" s="169">
        <v>0</v>
      </c>
      <c r="W24" s="113">
        <f>ROUND(V24*Valores!$C$2,2)</f>
        <v>0</v>
      </c>
      <c r="X24" s="113">
        <v>0</v>
      </c>
      <c r="Y24" s="188">
        <v>0</v>
      </c>
      <c r="Z24" s="113">
        <f t="shared" si="4"/>
        <v>0</v>
      </c>
      <c r="AA24" s="169">
        <v>0</v>
      </c>
      <c r="AB24" s="113">
        <f>ROUND(AA24*Valores!$C$2,2)</f>
        <v>0</v>
      </c>
      <c r="AC24" s="113">
        <f>ROUND(IF($F$4="NO",Valores!$C$32,Valores!$C$32/2),2)</f>
        <v>23377.77</v>
      </c>
      <c r="AD24" s="113">
        <f>SUM(F24,H24,J24,L24,M24,N24,O24,P24,Q24,S24,T24,U24,W24,X24,Z24,AB24,AC24)*Valores!$C$58</f>
        <v>133499.49080000003</v>
      </c>
      <c r="AE24" s="113">
        <f t="shared" si="5"/>
        <v>1468494.3988000003</v>
      </c>
      <c r="AF24" s="113">
        <f>Valores!$C$12</f>
        <v>72856</v>
      </c>
      <c r="AG24" s="113">
        <f>Valores!$C$59</f>
        <v>25000</v>
      </c>
      <c r="AH24" s="113">
        <f t="shared" si="1"/>
        <v>97856</v>
      </c>
      <c r="AI24" s="113">
        <f>AE24*Valores!$C$39</f>
        <v>-161534.38386800003</v>
      </c>
      <c r="AJ24" s="113">
        <f>IF(AE24&lt;Valores!$E$40,-0.02,IF(AE24&lt;Valores!$F$40,-0.03,-0.04))*AE24</f>
        <v>-58739.775952000011</v>
      </c>
      <c r="AK24" s="113">
        <f>AE24*Valores!$C$42</f>
        <v>-80767.191934000017</v>
      </c>
      <c r="AL24" s="113">
        <f>Valores!$C$56</f>
        <v>-1270.1600000000001</v>
      </c>
      <c r="AM24" s="113">
        <f>IF($F$5=0,Valores!$C$57,(Valores!$C$57+$F$5*(Valores!$C$57)))</f>
        <v>-7026</v>
      </c>
      <c r="AN24" s="113">
        <f t="shared" si="6"/>
        <v>1257012.8870460002</v>
      </c>
      <c r="AO24" s="113">
        <f t="shared" si="0"/>
        <v>-161534.38386800003</v>
      </c>
      <c r="AP24" s="113">
        <f t="shared" si="7"/>
        <v>-58739.775952000011</v>
      </c>
      <c r="AQ24" s="113">
        <f>AE24*Valores!$C$43</f>
        <v>-39649.348767600008</v>
      </c>
      <c r="AR24" s="113">
        <f>AE24*Valores!$C$44</f>
        <v>-4405.4831964000014</v>
      </c>
      <c r="AS24" s="113">
        <f t="shared" si="2"/>
        <v>1302021.4070160002</v>
      </c>
      <c r="AT24" s="113">
        <f>AE24*Valores!$C$46</f>
        <v>234959.10380800004</v>
      </c>
      <c r="AU24" s="113">
        <f>AE24*Valores!$C$47</f>
        <v>102794.60791600004</v>
      </c>
      <c r="AV24" s="113">
        <f>AE24*Valores!$C$48</f>
        <v>14684.943988000003</v>
      </c>
      <c r="AW24" s="113">
        <f>AE24*Valores!$C$50</f>
        <v>51397.303958000019</v>
      </c>
      <c r="AX24" s="113">
        <f>AE24*Valores!$C$52</f>
        <v>79298.697535200015</v>
      </c>
      <c r="AY24" s="113">
        <f>AE24*Valores!$C$51</f>
        <v>8810.9663928000027</v>
      </c>
      <c r="AZ24" s="114"/>
      <c r="BA24" s="114">
        <v>45</v>
      </c>
      <c r="BB24" s="111" t="s">
        <v>8</v>
      </c>
    </row>
    <row r="25" spans="1:54" s="100" customFormat="1" ht="11.25" customHeight="1" x14ac:dyDescent="0.15">
      <c r="A25" s="111" t="s">
        <v>106</v>
      </c>
      <c r="B25" s="111">
        <v>1</v>
      </c>
      <c r="C25" s="114">
        <v>18</v>
      </c>
      <c r="D25" s="112" t="s">
        <v>107</v>
      </c>
      <c r="E25" s="169">
        <v>96</v>
      </c>
      <c r="F25" s="113">
        <f>ROUND(E25*Valores!$C$2,2)</f>
        <v>9389.3799999999992</v>
      </c>
      <c r="G25" s="169">
        <v>3737</v>
      </c>
      <c r="H25" s="113">
        <f>ROUND(G25*Valores!$C$2,2)</f>
        <v>365501.02</v>
      </c>
      <c r="I25" s="169">
        <v>1220</v>
      </c>
      <c r="J25" s="113">
        <f>ROUND(I25*Valores!$C$2,2)</f>
        <v>119323.32</v>
      </c>
      <c r="K25" s="169">
        <v>0</v>
      </c>
      <c r="L25" s="113">
        <f>ROUND(K25*Valores!$C$2,2)</f>
        <v>0</v>
      </c>
      <c r="M25" s="113">
        <f>ROUND(IF($H$2=0,IF(AND(A25&lt;&gt;"13-930",A25&lt;&gt;"13-940"),(SUM(F25,H25,J25,L25,W25,S25,Q25)*Valores!$C$4),0),0),2)</f>
        <v>148250.06</v>
      </c>
      <c r="N25" s="113">
        <f t="shared" si="3"/>
        <v>0</v>
      </c>
      <c r="O25" s="113">
        <f>Valores!C$90</f>
        <v>362892.97</v>
      </c>
      <c r="P25" s="113">
        <f>Valores!$D$5</f>
        <v>49998.43</v>
      </c>
      <c r="Q25" s="113">
        <f>IF($F$4="NO",Valores!$C$26,Valores!$C$26/2)</f>
        <v>52265.18</v>
      </c>
      <c r="R25" s="113">
        <f>Valores!$C$8</f>
        <v>46521.33</v>
      </c>
      <c r="S25" s="113">
        <f t="shared" si="8"/>
        <v>46521.33</v>
      </c>
      <c r="T25" s="113">
        <v>0</v>
      </c>
      <c r="U25" s="113">
        <v>0</v>
      </c>
      <c r="V25" s="169">
        <v>0</v>
      </c>
      <c r="W25" s="113">
        <f>ROUND(V25*Valores!$C$2,2)</f>
        <v>0</v>
      </c>
      <c r="X25" s="113">
        <v>0</v>
      </c>
      <c r="Y25" s="188">
        <v>0</v>
      </c>
      <c r="Z25" s="113">
        <f t="shared" si="4"/>
        <v>0</v>
      </c>
      <c r="AA25" s="169">
        <v>0</v>
      </c>
      <c r="AB25" s="113">
        <f>ROUND(AA25*Valores!$C$2,2)</f>
        <v>0</v>
      </c>
      <c r="AC25" s="113">
        <f>ROUND(IF($F$4="NO",Valores!$C$32,Valores!$C$32/2),2)</f>
        <v>23377.77</v>
      </c>
      <c r="AD25" s="113">
        <f>SUM(F25,H25,J25,L25,M25,N25,O25,P25,Q25,S25,T25,U25,W25,X25,Z25,AB25,AC25)*Valores!$C$58</f>
        <v>117751.946</v>
      </c>
      <c r="AE25" s="113">
        <f t="shared" si="5"/>
        <v>1295271.406</v>
      </c>
      <c r="AF25" s="113">
        <f>Valores!$C$12</f>
        <v>72856</v>
      </c>
      <c r="AG25" s="113">
        <f>Valores!$C$59</f>
        <v>25000</v>
      </c>
      <c r="AH25" s="113">
        <f t="shared" si="1"/>
        <v>97856</v>
      </c>
      <c r="AI25" s="113">
        <f>AE25*Valores!$C$39</f>
        <v>-142479.85465999998</v>
      </c>
      <c r="AJ25" s="113">
        <f>IF(AE25&lt;Valores!$E$40,-0.02,IF(AE25&lt;Valores!$F$40,-0.03,-0.04))*AE25</f>
        <v>-51810.856240000001</v>
      </c>
      <c r="AK25" s="113">
        <f>AE25*Valores!$C$42</f>
        <v>-71239.927329999991</v>
      </c>
      <c r="AL25" s="113">
        <f>Valores!$C$56</f>
        <v>-1270.1600000000001</v>
      </c>
      <c r="AM25" s="113">
        <f>IF($F$5=0,Valores!$C$57,(Valores!$C$57+$F$5*(Valores!$C$57)))</f>
        <v>-7026</v>
      </c>
      <c r="AN25" s="113">
        <f t="shared" si="6"/>
        <v>1119300.6077699999</v>
      </c>
      <c r="AO25" s="113">
        <f t="shared" si="0"/>
        <v>-142479.85465999998</v>
      </c>
      <c r="AP25" s="113">
        <f t="shared" si="7"/>
        <v>-51810.856240000001</v>
      </c>
      <c r="AQ25" s="113">
        <f>AE25*Valores!$C$43</f>
        <v>-34972.327961999996</v>
      </c>
      <c r="AR25" s="113">
        <f>AE25*Valores!$C$44</f>
        <v>-3885.814218</v>
      </c>
      <c r="AS25" s="113">
        <f t="shared" si="2"/>
        <v>1159978.5529199999</v>
      </c>
      <c r="AT25" s="113">
        <f>AE25*Valores!$C$46</f>
        <v>207243.42496</v>
      </c>
      <c r="AU25" s="113">
        <f>AE25*Valores!$C$47</f>
        <v>90668.998420000004</v>
      </c>
      <c r="AV25" s="113">
        <f>AE25*Valores!$C$48</f>
        <v>12952.71406</v>
      </c>
      <c r="AW25" s="113">
        <f>AE25*Valores!$C$50</f>
        <v>45334.499210000002</v>
      </c>
      <c r="AX25" s="113">
        <f>AE25*Valores!$C$52</f>
        <v>69944.655923999992</v>
      </c>
      <c r="AY25" s="113">
        <f>AE25*Valores!$C$51</f>
        <v>7771.628436</v>
      </c>
      <c r="AZ25" s="114"/>
      <c r="BA25" s="114">
        <v>45</v>
      </c>
      <c r="BB25" s="111" t="s">
        <v>4</v>
      </c>
    </row>
    <row r="26" spans="1:54" s="100" customFormat="1" ht="11.25" customHeight="1" x14ac:dyDescent="0.15">
      <c r="A26" s="111" t="s">
        <v>108</v>
      </c>
      <c r="B26" s="111">
        <v>1</v>
      </c>
      <c r="C26" s="114">
        <v>19</v>
      </c>
      <c r="D26" s="112" t="s">
        <v>109</v>
      </c>
      <c r="E26" s="169">
        <v>96</v>
      </c>
      <c r="F26" s="113">
        <f>ROUND(E26*Valores!$C$2,2)</f>
        <v>9389.3799999999992</v>
      </c>
      <c r="G26" s="169">
        <v>3737</v>
      </c>
      <c r="H26" s="113">
        <f>ROUND(G26*Valores!$C$2,2)</f>
        <v>365501.02</v>
      </c>
      <c r="I26" s="169">
        <v>1220</v>
      </c>
      <c r="J26" s="113">
        <f>ROUND(I26*Valores!$C$2,2)</f>
        <v>119323.32</v>
      </c>
      <c r="K26" s="169">
        <v>0</v>
      </c>
      <c r="L26" s="113">
        <f>ROUND(K26*Valores!$C$2,2)</f>
        <v>0</v>
      </c>
      <c r="M26" s="113">
        <f>ROUND(IF($H$2=0,IF(AND(A26&lt;&gt;"13-930",A26&lt;&gt;"13-940"),(SUM(F26,H26,J26,L26,W26,S26,Q26)*Valores!$C$4),0),0),2)</f>
        <v>148250.06</v>
      </c>
      <c r="N26" s="113">
        <f t="shared" si="3"/>
        <v>0</v>
      </c>
      <c r="O26" s="113">
        <f>Valores!C$90</f>
        <v>362892.97</v>
      </c>
      <c r="P26" s="113">
        <f>Valores!$D$5</f>
        <v>49998.43</v>
      </c>
      <c r="Q26" s="113">
        <f>IF($F$4="NO",Valores!$C$26,Valores!$C$26/2)</f>
        <v>52265.18</v>
      </c>
      <c r="R26" s="113">
        <f>Valores!$C$8</f>
        <v>46521.33</v>
      </c>
      <c r="S26" s="113">
        <f t="shared" si="8"/>
        <v>46521.33</v>
      </c>
      <c r="T26" s="113">
        <v>0</v>
      </c>
      <c r="U26" s="113">
        <v>0</v>
      </c>
      <c r="V26" s="169">
        <v>0</v>
      </c>
      <c r="W26" s="113">
        <f>ROUND(V26*Valores!$C$2,2)</f>
        <v>0</v>
      </c>
      <c r="X26" s="113">
        <v>0</v>
      </c>
      <c r="Y26" s="188">
        <v>0</v>
      </c>
      <c r="Z26" s="113">
        <f t="shared" si="4"/>
        <v>0</v>
      </c>
      <c r="AA26" s="169">
        <v>0</v>
      </c>
      <c r="AB26" s="113">
        <f>ROUND(AA26*Valores!$C$2,2)</f>
        <v>0</v>
      </c>
      <c r="AC26" s="113">
        <f>ROUND(IF($F$4="NO",Valores!$C$32,Valores!$C$32/2),2)</f>
        <v>23377.77</v>
      </c>
      <c r="AD26" s="113">
        <f>SUM(F26,H26,J26,L26,M26,N26,O26,P26,Q26,S26,T26,U26,W26,X26,Z26,AB26,AC26)*Valores!$C$58</f>
        <v>117751.946</v>
      </c>
      <c r="AE26" s="113">
        <f t="shared" si="5"/>
        <v>1295271.406</v>
      </c>
      <c r="AF26" s="113">
        <f>Valores!$C$12</f>
        <v>72856</v>
      </c>
      <c r="AG26" s="113">
        <f>Valores!$C$59</f>
        <v>25000</v>
      </c>
      <c r="AH26" s="113">
        <f t="shared" si="1"/>
        <v>97856</v>
      </c>
      <c r="AI26" s="113">
        <f>AE26*Valores!$C$39</f>
        <v>-142479.85465999998</v>
      </c>
      <c r="AJ26" s="113">
        <f>IF(AE26&lt;Valores!$E$40,-0.02,IF(AE26&lt;Valores!$F$40,-0.03,-0.04))*AE26</f>
        <v>-51810.856240000001</v>
      </c>
      <c r="AK26" s="113">
        <f>AE26*Valores!$C$42</f>
        <v>-71239.927329999991</v>
      </c>
      <c r="AL26" s="113">
        <f>Valores!$C$56</f>
        <v>-1270.1600000000001</v>
      </c>
      <c r="AM26" s="113">
        <f>IF($F$5=0,Valores!$C$57,(Valores!$C$57+$F$5*(Valores!$C$57)))</f>
        <v>-7026</v>
      </c>
      <c r="AN26" s="113">
        <f t="shared" si="6"/>
        <v>1119300.6077699999</v>
      </c>
      <c r="AO26" s="113">
        <f t="shared" si="0"/>
        <v>-142479.85465999998</v>
      </c>
      <c r="AP26" s="113">
        <f t="shared" si="7"/>
        <v>-51810.856240000001</v>
      </c>
      <c r="AQ26" s="113">
        <f>AE26*Valores!$C$43</f>
        <v>-34972.327961999996</v>
      </c>
      <c r="AR26" s="113">
        <f>AE26*Valores!$C$44</f>
        <v>-3885.814218</v>
      </c>
      <c r="AS26" s="113">
        <f t="shared" si="2"/>
        <v>1159978.5529199999</v>
      </c>
      <c r="AT26" s="113">
        <f>AE26*Valores!$C$46</f>
        <v>207243.42496</v>
      </c>
      <c r="AU26" s="113">
        <f>AE26*Valores!$C$47</f>
        <v>90668.998420000004</v>
      </c>
      <c r="AV26" s="113">
        <f>AE26*Valores!$C$48</f>
        <v>12952.71406</v>
      </c>
      <c r="AW26" s="113">
        <f>AE26*Valores!$C$50</f>
        <v>45334.499210000002</v>
      </c>
      <c r="AX26" s="113">
        <f>AE26*Valores!$C$52</f>
        <v>69944.655923999992</v>
      </c>
      <c r="AY26" s="113">
        <f>AE26*Valores!$C$51</f>
        <v>7771.628436</v>
      </c>
      <c r="AZ26" s="114"/>
      <c r="BA26" s="114">
        <v>45</v>
      </c>
      <c r="BB26" s="111" t="s">
        <v>4</v>
      </c>
    </row>
    <row r="27" spans="1:54" s="100" customFormat="1" ht="11.25" customHeight="1" x14ac:dyDescent="0.15">
      <c r="A27" s="111" t="s">
        <v>110</v>
      </c>
      <c r="B27" s="111">
        <v>1</v>
      </c>
      <c r="C27" s="114">
        <v>20</v>
      </c>
      <c r="D27" s="112" t="s">
        <v>111</v>
      </c>
      <c r="E27" s="169">
        <v>96</v>
      </c>
      <c r="F27" s="113">
        <f>ROUND(E27*Valores!$C$2,2)</f>
        <v>9389.3799999999992</v>
      </c>
      <c r="G27" s="169">
        <v>3737</v>
      </c>
      <c r="H27" s="113">
        <f>ROUND(G27*Valores!$C$2,2)</f>
        <v>365501.02</v>
      </c>
      <c r="I27" s="169">
        <v>1220</v>
      </c>
      <c r="J27" s="113">
        <f>ROUND(I27*Valores!$C$2,2)</f>
        <v>119323.32</v>
      </c>
      <c r="K27" s="169">
        <v>0</v>
      </c>
      <c r="L27" s="113">
        <f>ROUND(K27*Valores!$C$2,2)</f>
        <v>0</v>
      </c>
      <c r="M27" s="113">
        <f>ROUND(IF($H$2=0,IF(AND(A27&lt;&gt;"13-930",A27&lt;&gt;"13-940"),(SUM(F27,H27,J27,L27,W27,S27,Q27)*Valores!$C$4),0),0),2)</f>
        <v>148250.06</v>
      </c>
      <c r="N27" s="113">
        <f t="shared" si="3"/>
        <v>0</v>
      </c>
      <c r="O27" s="113">
        <f>Valores!C$90</f>
        <v>362892.97</v>
      </c>
      <c r="P27" s="113">
        <f>Valores!$D$5</f>
        <v>49998.43</v>
      </c>
      <c r="Q27" s="113">
        <f>IF($F$4="NO",Valores!$C$26,Valores!$C$26/2)</f>
        <v>52265.18</v>
      </c>
      <c r="R27" s="113">
        <f>Valores!$C$8</f>
        <v>46521.33</v>
      </c>
      <c r="S27" s="113">
        <f t="shared" si="8"/>
        <v>46521.33</v>
      </c>
      <c r="T27" s="113">
        <v>0</v>
      </c>
      <c r="U27" s="113">
        <v>0</v>
      </c>
      <c r="V27" s="169">
        <v>0</v>
      </c>
      <c r="W27" s="113">
        <f>ROUND(V27*Valores!$C$2,2)</f>
        <v>0</v>
      </c>
      <c r="X27" s="113">
        <v>0</v>
      </c>
      <c r="Y27" s="188">
        <v>0</v>
      </c>
      <c r="Z27" s="113">
        <f t="shared" si="4"/>
        <v>0</v>
      </c>
      <c r="AA27" s="169">
        <v>0</v>
      </c>
      <c r="AB27" s="113">
        <f>ROUND(AA27*Valores!$C$2,2)</f>
        <v>0</v>
      </c>
      <c r="AC27" s="113">
        <f>ROUND(IF($F$4="NO",Valores!$C$32,Valores!$C$32/2),2)</f>
        <v>23377.77</v>
      </c>
      <c r="AD27" s="113">
        <f>SUM(F27,H27,J27,L27,M27,N27,O27,P27,Q27,S27,T27,U27,W27,X27,Z27,AB27,AC27)*Valores!$C$58</f>
        <v>117751.946</v>
      </c>
      <c r="AE27" s="113">
        <f t="shared" si="5"/>
        <v>1295271.406</v>
      </c>
      <c r="AF27" s="113">
        <f>Valores!$C$12</f>
        <v>72856</v>
      </c>
      <c r="AG27" s="113">
        <f>Valores!$C$59</f>
        <v>25000</v>
      </c>
      <c r="AH27" s="113">
        <f t="shared" si="1"/>
        <v>97856</v>
      </c>
      <c r="AI27" s="113">
        <f>AE27*Valores!$C$39</f>
        <v>-142479.85465999998</v>
      </c>
      <c r="AJ27" s="113">
        <f>IF(AE27&lt;Valores!$E$40,-0.02,IF(AE27&lt;Valores!$F$40,-0.03,-0.04))*AE27</f>
        <v>-51810.856240000001</v>
      </c>
      <c r="AK27" s="113">
        <f>AE27*Valores!$C$42</f>
        <v>-71239.927329999991</v>
      </c>
      <c r="AL27" s="113">
        <f>Valores!$C$56</f>
        <v>-1270.1600000000001</v>
      </c>
      <c r="AM27" s="113">
        <f>IF($F$5=0,Valores!$C$57,(Valores!$C$57+$F$5*(Valores!$C$57)))</f>
        <v>-7026</v>
      </c>
      <c r="AN27" s="113">
        <f t="shared" si="6"/>
        <v>1119300.6077699999</v>
      </c>
      <c r="AO27" s="113">
        <f t="shared" si="0"/>
        <v>-142479.85465999998</v>
      </c>
      <c r="AP27" s="113">
        <f t="shared" si="7"/>
        <v>-51810.856240000001</v>
      </c>
      <c r="AQ27" s="113">
        <f>AE27*Valores!$C$43</f>
        <v>-34972.327961999996</v>
      </c>
      <c r="AR27" s="113">
        <f>AE27*Valores!$C$44</f>
        <v>-3885.814218</v>
      </c>
      <c r="AS27" s="113">
        <f t="shared" si="2"/>
        <v>1159978.5529199999</v>
      </c>
      <c r="AT27" s="113">
        <f>AE27*Valores!$C$46</f>
        <v>207243.42496</v>
      </c>
      <c r="AU27" s="113">
        <f>AE27*Valores!$C$47</f>
        <v>90668.998420000004</v>
      </c>
      <c r="AV27" s="113">
        <f>AE27*Valores!$C$48</f>
        <v>12952.71406</v>
      </c>
      <c r="AW27" s="113">
        <f>AE27*Valores!$C$50</f>
        <v>45334.499210000002</v>
      </c>
      <c r="AX27" s="113">
        <f>AE27*Valores!$C$52</f>
        <v>69944.655923999992</v>
      </c>
      <c r="AY27" s="113">
        <f>AE27*Valores!$C$51</f>
        <v>7771.628436</v>
      </c>
      <c r="AZ27" s="114"/>
      <c r="BA27" s="114">
        <v>45</v>
      </c>
      <c r="BB27" s="111" t="s">
        <v>4</v>
      </c>
    </row>
    <row r="28" spans="1:54" s="100" customFormat="1" ht="11.25" customHeight="1" x14ac:dyDescent="0.15">
      <c r="A28" s="111" t="s">
        <v>112</v>
      </c>
      <c r="B28" s="111">
        <v>1</v>
      </c>
      <c r="C28" s="114">
        <v>21</v>
      </c>
      <c r="D28" s="112" t="s">
        <v>113</v>
      </c>
      <c r="E28" s="169">
        <v>107</v>
      </c>
      <c r="F28" s="113">
        <f>ROUND(E28*Valores!$C$2,2)</f>
        <v>10465.24</v>
      </c>
      <c r="G28" s="169">
        <v>3728</v>
      </c>
      <c r="H28" s="113">
        <f>ROUND(G28*Valores!$C$2,2)</f>
        <v>364620.77</v>
      </c>
      <c r="I28" s="169">
        <v>1218</v>
      </c>
      <c r="J28" s="113">
        <f>ROUND(I28*Valores!$C$2,2)</f>
        <v>119127.71</v>
      </c>
      <c r="K28" s="169">
        <v>0</v>
      </c>
      <c r="L28" s="113">
        <f>ROUND(K28*Valores!$C$2,2)</f>
        <v>0</v>
      </c>
      <c r="M28" s="113">
        <f>ROUND(IF($H$2=0,IF(AND(A28&lt;&gt;"13-930",A28&lt;&gt;"13-940"),(SUM(F28,H28,J28,L28,W28,S28,Q28)*Valores!$C$4),0),0),2)</f>
        <v>148250.06</v>
      </c>
      <c r="N28" s="113">
        <f t="shared" si="3"/>
        <v>0</v>
      </c>
      <c r="O28" s="113">
        <f>Valores!C$90</f>
        <v>362892.97</v>
      </c>
      <c r="P28" s="113">
        <f>Valores!$D$5</f>
        <v>49998.43</v>
      </c>
      <c r="Q28" s="113">
        <f>IF($F$4="NO",Valores!$C$26,Valores!$C$26/2)</f>
        <v>52265.18</v>
      </c>
      <c r="R28" s="113">
        <f>Valores!$C$8</f>
        <v>46521.33</v>
      </c>
      <c r="S28" s="113">
        <f t="shared" si="8"/>
        <v>46521.33</v>
      </c>
      <c r="T28" s="113">
        <v>0</v>
      </c>
      <c r="U28" s="113">
        <v>0</v>
      </c>
      <c r="V28" s="169">
        <v>0</v>
      </c>
      <c r="W28" s="113">
        <f>ROUND(V28*Valores!$C$2,2)</f>
        <v>0</v>
      </c>
      <c r="X28" s="113">
        <v>0</v>
      </c>
      <c r="Y28" s="188">
        <v>0</v>
      </c>
      <c r="Z28" s="113">
        <f t="shared" si="4"/>
        <v>0</v>
      </c>
      <c r="AA28" s="169">
        <v>0</v>
      </c>
      <c r="AB28" s="113">
        <f>ROUND(AA28*Valores!$C$2,2)</f>
        <v>0</v>
      </c>
      <c r="AC28" s="113">
        <f>ROUND(IF($F$4="NO",Valores!$C$32,Valores!$C$32/2),2)</f>
        <v>23377.77</v>
      </c>
      <c r="AD28" s="113">
        <f>SUM(F28,H28,J28,L28,M28,N28,O28,P28,Q28,S28,T28,U28,W28,X28,Z28,AB28,AC28)*Valores!$C$58</f>
        <v>117751.946</v>
      </c>
      <c r="AE28" s="113">
        <f t="shared" si="5"/>
        <v>1295271.406</v>
      </c>
      <c r="AF28" s="113">
        <f>Valores!$C$12</f>
        <v>72856</v>
      </c>
      <c r="AG28" s="113">
        <f>Valores!$C$59</f>
        <v>25000</v>
      </c>
      <c r="AH28" s="113">
        <f t="shared" si="1"/>
        <v>97856</v>
      </c>
      <c r="AI28" s="113">
        <f>AE28*Valores!$C$39</f>
        <v>-142479.85465999998</v>
      </c>
      <c r="AJ28" s="113">
        <f>IF(AE28&lt;Valores!$E$40,-0.02,IF(AE28&lt;Valores!$F$40,-0.03,-0.04))*AE28</f>
        <v>-51810.856240000001</v>
      </c>
      <c r="AK28" s="113">
        <f>AE28*Valores!$C$42</f>
        <v>-71239.927329999991</v>
      </c>
      <c r="AL28" s="113">
        <f>Valores!$C$56</f>
        <v>-1270.1600000000001</v>
      </c>
      <c r="AM28" s="113">
        <f>IF($F$5=0,Valores!$C$57,(Valores!$C$57+$F$5*(Valores!$C$57)))</f>
        <v>-7026</v>
      </c>
      <c r="AN28" s="113">
        <f t="shared" si="6"/>
        <v>1119300.6077699999</v>
      </c>
      <c r="AO28" s="113">
        <f t="shared" si="0"/>
        <v>-142479.85465999998</v>
      </c>
      <c r="AP28" s="113">
        <f t="shared" si="7"/>
        <v>-51810.856240000001</v>
      </c>
      <c r="AQ28" s="113">
        <f>AE28*Valores!$C$43</f>
        <v>-34972.327961999996</v>
      </c>
      <c r="AR28" s="113">
        <f>AE28*Valores!$C$44</f>
        <v>-3885.814218</v>
      </c>
      <c r="AS28" s="113">
        <f t="shared" si="2"/>
        <v>1159978.5529199999</v>
      </c>
      <c r="AT28" s="113">
        <f>AE28*Valores!$C$46</f>
        <v>207243.42496</v>
      </c>
      <c r="AU28" s="113">
        <f>AE28*Valores!$C$47</f>
        <v>90668.998420000004</v>
      </c>
      <c r="AV28" s="113">
        <f>AE28*Valores!$C$48</f>
        <v>12952.71406</v>
      </c>
      <c r="AW28" s="113">
        <f>AE28*Valores!$C$50</f>
        <v>45334.499210000002</v>
      </c>
      <c r="AX28" s="113">
        <f>AE28*Valores!$C$52</f>
        <v>69944.655923999992</v>
      </c>
      <c r="AY28" s="113">
        <f>AE28*Valores!$C$51</f>
        <v>7771.628436</v>
      </c>
      <c r="AZ28" s="114"/>
      <c r="BA28" s="114">
        <v>45</v>
      </c>
      <c r="BB28" s="111" t="s">
        <v>8</v>
      </c>
    </row>
    <row r="29" spans="1:54" s="100" customFormat="1" ht="11.25" customHeight="1" x14ac:dyDescent="0.15">
      <c r="A29" s="111" t="s">
        <v>114</v>
      </c>
      <c r="B29" s="111">
        <v>1</v>
      </c>
      <c r="C29" s="114">
        <v>22</v>
      </c>
      <c r="D29" s="112" t="s">
        <v>115</v>
      </c>
      <c r="E29" s="169">
        <v>94</v>
      </c>
      <c r="F29" s="113">
        <f>ROUND(E29*Valores!$C$2,2)</f>
        <v>9193.76</v>
      </c>
      <c r="G29" s="169">
        <v>3624</v>
      </c>
      <c r="H29" s="113">
        <f>ROUND(G29*Valores!$C$2,2)</f>
        <v>354448.94</v>
      </c>
      <c r="I29" s="169">
        <v>1219</v>
      </c>
      <c r="J29" s="113">
        <f>ROUND(I29*Valores!$C$2,2)</f>
        <v>119225.51</v>
      </c>
      <c r="K29" s="169">
        <v>0</v>
      </c>
      <c r="L29" s="113">
        <f>ROUND(K29*Valores!$C$2,2)</f>
        <v>0</v>
      </c>
      <c r="M29" s="113">
        <f>ROUND(IF($H$2=0,IF(AND(A29&lt;&gt;"13-930",A29&lt;&gt;"13-940"),(SUM(F29,H29,J29,L29,W29,S29,Q29)*Valores!$C$4),0),0),2)</f>
        <v>145413.68</v>
      </c>
      <c r="N29" s="113">
        <f t="shared" si="3"/>
        <v>0</v>
      </c>
      <c r="O29" s="113">
        <f>Valores!C$90</f>
        <v>362892.97</v>
      </c>
      <c r="P29" s="113">
        <f>Valores!$D$5</f>
        <v>49998.43</v>
      </c>
      <c r="Q29" s="113">
        <f>IF($F$4="NO",Valores!$C$26,Valores!$C$26/2)</f>
        <v>52265.18</v>
      </c>
      <c r="R29" s="113">
        <f>Valores!$C$8</f>
        <v>46521.33</v>
      </c>
      <c r="S29" s="113">
        <f t="shared" si="8"/>
        <v>46521.33</v>
      </c>
      <c r="T29" s="113">
        <v>0</v>
      </c>
      <c r="U29" s="113">
        <v>0</v>
      </c>
      <c r="V29" s="169">
        <v>0</v>
      </c>
      <c r="W29" s="113">
        <f>ROUND(V29*Valores!$C$2,2)</f>
        <v>0</v>
      </c>
      <c r="X29" s="113">
        <v>0</v>
      </c>
      <c r="Y29" s="188">
        <v>0</v>
      </c>
      <c r="Z29" s="113">
        <f t="shared" si="4"/>
        <v>0</v>
      </c>
      <c r="AA29" s="169">
        <v>0</v>
      </c>
      <c r="AB29" s="113">
        <f>ROUND(AA29*Valores!$C$2,2)</f>
        <v>0</v>
      </c>
      <c r="AC29" s="113">
        <f>ROUND(IF($F$4="NO",Valores!$C$32,Valores!$C$32/2),2)</f>
        <v>23377.77</v>
      </c>
      <c r="AD29" s="113">
        <f>SUM(F29,H29,J29,L29,M29,N29,O29,P29,Q29,S29,T29,U29,W29,X29,Z29,AB29,AC29)*Valores!$C$58</f>
        <v>116333.75700000001</v>
      </c>
      <c r="AE29" s="113">
        <f t="shared" si="5"/>
        <v>1279671.327</v>
      </c>
      <c r="AF29" s="113">
        <f>Valores!$C$12</f>
        <v>72856</v>
      </c>
      <c r="AG29" s="113">
        <f>Valores!$C$59</f>
        <v>25000</v>
      </c>
      <c r="AH29" s="113">
        <f t="shared" si="1"/>
        <v>97856</v>
      </c>
      <c r="AI29" s="113">
        <f>AE29*Valores!$C$39</f>
        <v>-140763.84596999999</v>
      </c>
      <c r="AJ29" s="113">
        <f>IF(AE29&lt;Valores!$E$40,-0.02,IF(AE29&lt;Valores!$F$40,-0.03,-0.04))*AE29</f>
        <v>-51186.853080000001</v>
      </c>
      <c r="AK29" s="113">
        <f>AE29*Valores!$C$42</f>
        <v>-70381.922984999997</v>
      </c>
      <c r="AL29" s="113">
        <f>Valores!$C$56</f>
        <v>-1270.1600000000001</v>
      </c>
      <c r="AM29" s="113">
        <f>IF($F$5=0,Valores!$C$57,(Valores!$C$57+$F$5*(Valores!$C$57)))</f>
        <v>-7026</v>
      </c>
      <c r="AN29" s="113">
        <f t="shared" si="6"/>
        <v>1106898.5449650001</v>
      </c>
      <c r="AO29" s="113">
        <f t="shared" si="0"/>
        <v>-140763.84596999999</v>
      </c>
      <c r="AP29" s="113">
        <f t="shared" si="7"/>
        <v>-51186.853080000001</v>
      </c>
      <c r="AQ29" s="113">
        <f>AE29*Valores!$C$43</f>
        <v>-34551.125829000004</v>
      </c>
      <c r="AR29" s="113">
        <f>AE29*Valores!$C$44</f>
        <v>-3839.0139810000001</v>
      </c>
      <c r="AS29" s="113">
        <f t="shared" si="2"/>
        <v>1147186.48814</v>
      </c>
      <c r="AT29" s="113">
        <f>AE29*Valores!$C$46</f>
        <v>204747.41232</v>
      </c>
      <c r="AU29" s="113">
        <f>AE29*Valores!$C$47</f>
        <v>89576.992890000009</v>
      </c>
      <c r="AV29" s="113">
        <f>AE29*Valores!$C$48</f>
        <v>12796.71327</v>
      </c>
      <c r="AW29" s="113">
        <f>AE29*Valores!$C$50</f>
        <v>44788.496445000004</v>
      </c>
      <c r="AX29" s="113">
        <f>AE29*Valores!$C$52</f>
        <v>69102.251658000008</v>
      </c>
      <c r="AY29" s="113">
        <f>AE29*Valores!$C$51</f>
        <v>7678.0279620000001</v>
      </c>
      <c r="AZ29" s="114"/>
      <c r="BA29" s="114">
        <v>45</v>
      </c>
      <c r="BB29" s="111" t="s">
        <v>4</v>
      </c>
    </row>
    <row r="30" spans="1:54" s="100" customFormat="1" ht="11.25" customHeight="1" x14ac:dyDescent="0.15">
      <c r="A30" s="111" t="s">
        <v>116</v>
      </c>
      <c r="B30" s="111">
        <v>1</v>
      </c>
      <c r="C30" s="114">
        <v>23</v>
      </c>
      <c r="D30" s="112" t="s">
        <v>117</v>
      </c>
      <c r="E30" s="169">
        <v>93</v>
      </c>
      <c r="F30" s="113">
        <f>ROUND(E30*Valores!$C$2,2)</f>
        <v>9095.9599999999991</v>
      </c>
      <c r="G30" s="169">
        <v>3627</v>
      </c>
      <c r="H30" s="113">
        <f>ROUND(G30*Valores!$C$2,2)</f>
        <v>354742.36</v>
      </c>
      <c r="I30" s="169">
        <v>210</v>
      </c>
      <c r="J30" s="113">
        <f>ROUND(I30*Valores!$C$2,2)</f>
        <v>20539.259999999998</v>
      </c>
      <c r="K30" s="169">
        <v>0</v>
      </c>
      <c r="L30" s="113">
        <f>ROUND(K30*Valores!$C$2,2)</f>
        <v>0</v>
      </c>
      <c r="M30" s="113">
        <f>ROUND(IF($H$2=0,IF(AND(A30&lt;&gt;"13-930",A30&lt;&gt;"13-940"),(SUM(F30,H30,J30,L30,W30,S30,Q30)*Valores!$C$4),0),0),2)</f>
        <v>120791.02</v>
      </c>
      <c r="N30" s="113">
        <f t="shared" si="3"/>
        <v>0</v>
      </c>
      <c r="O30" s="113">
        <f>Valores!C$90</f>
        <v>362892.97</v>
      </c>
      <c r="P30" s="113">
        <f>Valores!$D$5</f>
        <v>49998.43</v>
      </c>
      <c r="Q30" s="113">
        <f>IF($F$4="NO",Valores!$C$26,Valores!$C$26/2)</f>
        <v>52265.18</v>
      </c>
      <c r="R30" s="113">
        <f>Valores!$C$8</f>
        <v>46521.33</v>
      </c>
      <c r="S30" s="113">
        <f t="shared" si="8"/>
        <v>46521.33</v>
      </c>
      <c r="T30" s="113">
        <v>0</v>
      </c>
      <c r="U30" s="113">
        <v>0</v>
      </c>
      <c r="V30" s="169">
        <v>0</v>
      </c>
      <c r="W30" s="113">
        <f>ROUND(V30*Valores!$C$2,2)</f>
        <v>0</v>
      </c>
      <c r="X30" s="113">
        <v>0</v>
      </c>
      <c r="Y30" s="188">
        <v>0</v>
      </c>
      <c r="Z30" s="113">
        <f t="shared" si="4"/>
        <v>0</v>
      </c>
      <c r="AA30" s="169">
        <v>0</v>
      </c>
      <c r="AB30" s="113">
        <f>ROUND(AA30*Valores!$C$2,2)</f>
        <v>0</v>
      </c>
      <c r="AC30" s="113">
        <f>ROUND(IF($F$4="NO",Valores!$C$32,Valores!$C$32/2),2)</f>
        <v>23377.77</v>
      </c>
      <c r="AD30" s="113">
        <f>SUM(F30,H30,J30,L30,M30,N30,O30,P30,Q30,S30,T30,U30,W30,X30,Z30,AB30,AC30)*Valores!$C$58</f>
        <v>104022.42800000001</v>
      </c>
      <c r="AE30" s="113">
        <f t="shared" si="5"/>
        <v>1144246.7080000001</v>
      </c>
      <c r="AF30" s="113">
        <f>Valores!$C$12</f>
        <v>72856</v>
      </c>
      <c r="AG30" s="113">
        <f>Valores!$C$59</f>
        <v>25000</v>
      </c>
      <c r="AH30" s="113">
        <f t="shared" si="1"/>
        <v>97856</v>
      </c>
      <c r="AI30" s="113">
        <f>AE30*Valores!$C$39</f>
        <v>-125867.13788000001</v>
      </c>
      <c r="AJ30" s="113">
        <f>IF(AE30&lt;Valores!$E$40,-0.02,IF(AE30&lt;Valores!$F$40,-0.03,-0.04))*AE30</f>
        <v>-45769.868320000001</v>
      </c>
      <c r="AK30" s="113">
        <f>AE30*Valores!$C$42</f>
        <v>-62933.568940000005</v>
      </c>
      <c r="AL30" s="113">
        <f>Valores!$C$56</f>
        <v>-1270.1600000000001</v>
      </c>
      <c r="AM30" s="113">
        <f>IF($F$5=0,Valores!$C$57,(Valores!$C$57+$F$5*(Valores!$C$57)))</f>
        <v>-7026</v>
      </c>
      <c r="AN30" s="113">
        <f t="shared" si="6"/>
        <v>999235.9728600001</v>
      </c>
      <c r="AO30" s="113">
        <f t="shared" si="0"/>
        <v>-125867.13788000001</v>
      </c>
      <c r="AP30" s="113">
        <f t="shared" si="7"/>
        <v>-45769.868320000001</v>
      </c>
      <c r="AQ30" s="113">
        <f>AE30*Valores!$C$43</f>
        <v>-30894.661116000003</v>
      </c>
      <c r="AR30" s="113">
        <f>AE30*Valores!$C$44</f>
        <v>-3432.7401240000004</v>
      </c>
      <c r="AS30" s="113">
        <f t="shared" si="2"/>
        <v>1036138.3005600001</v>
      </c>
      <c r="AT30" s="113">
        <f>AE30*Valores!$C$46</f>
        <v>183079.47328000001</v>
      </c>
      <c r="AU30" s="113">
        <f>AE30*Valores!$C$47</f>
        <v>80097.269560000015</v>
      </c>
      <c r="AV30" s="113">
        <f>AE30*Valores!$C$48</f>
        <v>11442.46708</v>
      </c>
      <c r="AW30" s="113">
        <f>AE30*Valores!$C$50</f>
        <v>40048.634780000008</v>
      </c>
      <c r="AX30" s="113">
        <f>AE30*Valores!$C$52</f>
        <v>61789.322232000006</v>
      </c>
      <c r="AY30" s="113">
        <f>AE30*Valores!$C$51</f>
        <v>6865.4802480000008</v>
      </c>
      <c r="AZ30" s="114"/>
      <c r="BA30" s="114">
        <v>45</v>
      </c>
      <c r="BB30" s="111" t="s">
        <v>8</v>
      </c>
    </row>
    <row r="31" spans="1:54" s="100" customFormat="1" ht="11.25" customHeight="1" x14ac:dyDescent="0.15">
      <c r="A31" s="111" t="s">
        <v>118</v>
      </c>
      <c r="B31" s="111">
        <v>1</v>
      </c>
      <c r="C31" s="114">
        <v>24</v>
      </c>
      <c r="D31" s="112" t="s">
        <v>119</v>
      </c>
      <c r="E31" s="169">
        <v>93</v>
      </c>
      <c r="F31" s="113">
        <f>ROUND(E31*Valores!$C$2,2)</f>
        <v>9095.9599999999991</v>
      </c>
      <c r="G31" s="169">
        <v>3630</v>
      </c>
      <c r="H31" s="113">
        <f>ROUND(G31*Valores!$C$2,2)</f>
        <v>355035.78</v>
      </c>
      <c r="I31" s="169">
        <v>1214</v>
      </c>
      <c r="J31" s="113">
        <f>ROUND(I31*Valores!$C$2,2)</f>
        <v>118736.48</v>
      </c>
      <c r="K31" s="169">
        <v>0</v>
      </c>
      <c r="L31" s="113">
        <f>ROUND(K31*Valores!$C$2,2)</f>
        <v>0</v>
      </c>
      <c r="M31" s="113">
        <f>ROUND(IF($H$2=0,IF(AND(A31&lt;&gt;"13-930",A31&lt;&gt;"13-940"),(SUM(F31,H31,J31,L31,W31,S31,Q31)*Valores!$C$4),0),0),2)</f>
        <v>145413.68</v>
      </c>
      <c r="N31" s="113">
        <f t="shared" si="3"/>
        <v>0</v>
      </c>
      <c r="O31" s="113">
        <f>Valores!C$90</f>
        <v>362892.97</v>
      </c>
      <c r="P31" s="113">
        <f>Valores!$D$5</f>
        <v>49998.43</v>
      </c>
      <c r="Q31" s="113">
        <f>IF($F$4="NO",Valores!$C$26,Valores!$C$26/2)</f>
        <v>52265.18</v>
      </c>
      <c r="R31" s="113">
        <f>Valores!$C$8</f>
        <v>46521.33</v>
      </c>
      <c r="S31" s="113">
        <f t="shared" si="8"/>
        <v>46521.33</v>
      </c>
      <c r="T31" s="113">
        <v>0</v>
      </c>
      <c r="U31" s="113">
        <v>0</v>
      </c>
      <c r="V31" s="169">
        <v>0</v>
      </c>
      <c r="W31" s="113">
        <f>ROUND(V31*Valores!$C$2,2)</f>
        <v>0</v>
      </c>
      <c r="X31" s="113">
        <v>0</v>
      </c>
      <c r="Y31" s="188">
        <v>0</v>
      </c>
      <c r="Z31" s="113">
        <f t="shared" si="4"/>
        <v>0</v>
      </c>
      <c r="AA31" s="169">
        <v>0</v>
      </c>
      <c r="AB31" s="113">
        <f>ROUND(AA31*Valores!$C$2,2)</f>
        <v>0</v>
      </c>
      <c r="AC31" s="113">
        <f>ROUND(IF($F$4="NO",Valores!$C$32,Valores!$C$32/2),2)</f>
        <v>23377.77</v>
      </c>
      <c r="AD31" s="113">
        <f>SUM(F31,H31,J31,L31,M31,N31,O31,P31,Q31,S31,T31,U31,W31,X31,Z31,AB31,AC31)*Valores!$C$58</f>
        <v>116333.75800000002</v>
      </c>
      <c r="AE31" s="113">
        <f t="shared" si="5"/>
        <v>1279671.338</v>
      </c>
      <c r="AF31" s="113">
        <f>Valores!$C$12</f>
        <v>72856</v>
      </c>
      <c r="AG31" s="113">
        <f>Valores!$C$59</f>
        <v>25000</v>
      </c>
      <c r="AH31" s="113">
        <f t="shared" si="1"/>
        <v>97856</v>
      </c>
      <c r="AI31" s="113">
        <f>AE31*Valores!$C$39</f>
        <v>-140763.84718000001</v>
      </c>
      <c r="AJ31" s="113">
        <f>IF(AE31&lt;Valores!$E$40,-0.02,IF(AE31&lt;Valores!$F$40,-0.03,-0.04))*AE31</f>
        <v>-51186.853520000004</v>
      </c>
      <c r="AK31" s="113">
        <f>AE31*Valores!$C$42</f>
        <v>-70381.923590000006</v>
      </c>
      <c r="AL31" s="113">
        <f>Valores!$C$56</f>
        <v>-1270.1600000000001</v>
      </c>
      <c r="AM31" s="113">
        <f>IF($F$5=0,Valores!$C$57,(Valores!$C$57+$F$5*(Valores!$C$57)))</f>
        <v>-7026</v>
      </c>
      <c r="AN31" s="113">
        <f t="shared" si="6"/>
        <v>1106898.5537099999</v>
      </c>
      <c r="AO31" s="113">
        <f t="shared" si="0"/>
        <v>-140763.84718000001</v>
      </c>
      <c r="AP31" s="113">
        <f t="shared" si="7"/>
        <v>-51186.853520000004</v>
      </c>
      <c r="AQ31" s="113">
        <f>AE31*Valores!$C$43</f>
        <v>-34551.126126000003</v>
      </c>
      <c r="AR31" s="113">
        <f>AE31*Valores!$C$44</f>
        <v>-3839.0140139999999</v>
      </c>
      <c r="AS31" s="113">
        <f t="shared" si="2"/>
        <v>1147186.49716</v>
      </c>
      <c r="AT31" s="113">
        <f>AE31*Valores!$C$46</f>
        <v>204747.41408000002</v>
      </c>
      <c r="AU31" s="113">
        <f>AE31*Valores!$C$47</f>
        <v>89576.993660000007</v>
      </c>
      <c r="AV31" s="113">
        <f>AE31*Valores!$C$48</f>
        <v>12796.713380000001</v>
      </c>
      <c r="AW31" s="113">
        <f>AE31*Valores!$C$50</f>
        <v>44788.496830000004</v>
      </c>
      <c r="AX31" s="113">
        <f>AE31*Valores!$C$52</f>
        <v>69102.252252000006</v>
      </c>
      <c r="AY31" s="113">
        <f>AE31*Valores!$C$51</f>
        <v>7678.0280279999997</v>
      </c>
      <c r="AZ31" s="114"/>
      <c r="BA31" s="114">
        <v>45</v>
      </c>
      <c r="BB31" s="111" t="s">
        <v>4</v>
      </c>
    </row>
    <row r="32" spans="1:54" s="100" customFormat="1" ht="11.25" customHeight="1" x14ac:dyDescent="0.15">
      <c r="A32" s="111" t="s">
        <v>120</v>
      </c>
      <c r="B32" s="111">
        <v>1</v>
      </c>
      <c r="C32" s="114">
        <v>25</v>
      </c>
      <c r="D32" s="112" t="s">
        <v>121</v>
      </c>
      <c r="E32" s="169">
        <v>96</v>
      </c>
      <c r="F32" s="113">
        <f>ROUND(E32*Valores!$C$2,2)</f>
        <v>9389.3799999999992</v>
      </c>
      <c r="G32" s="169">
        <v>3737</v>
      </c>
      <c r="H32" s="113">
        <f>ROUND(G32*Valores!$C$2,2)</f>
        <v>365501.02</v>
      </c>
      <c r="I32" s="169">
        <v>1220</v>
      </c>
      <c r="J32" s="113">
        <f>ROUND(I32*Valores!$C$2,2)</f>
        <v>119323.32</v>
      </c>
      <c r="K32" s="169">
        <v>0</v>
      </c>
      <c r="L32" s="113">
        <f>ROUND(K32*Valores!$C$2,2)</f>
        <v>0</v>
      </c>
      <c r="M32" s="113">
        <f>ROUND(IF($H$2=0,IF(AND(A32&lt;&gt;"13-930",A32&lt;&gt;"13-940"),(SUM(F32,H32,J32,L32,W32,S32,Q32)*Valores!$C$4),0),0),2)</f>
        <v>148250.06</v>
      </c>
      <c r="N32" s="113">
        <f t="shared" si="3"/>
        <v>0</v>
      </c>
      <c r="O32" s="113">
        <f>Valores!C$90</f>
        <v>362892.97</v>
      </c>
      <c r="P32" s="113">
        <f>Valores!$D$5</f>
        <v>49998.43</v>
      </c>
      <c r="Q32" s="113">
        <f>IF($F$4="NO",Valores!$C$26,Valores!$C$26/2)</f>
        <v>52265.18</v>
      </c>
      <c r="R32" s="113">
        <f>Valores!$C$8</f>
        <v>46521.33</v>
      </c>
      <c r="S32" s="113">
        <f t="shared" si="8"/>
        <v>46521.33</v>
      </c>
      <c r="T32" s="113">
        <v>0</v>
      </c>
      <c r="U32" s="113">
        <v>0</v>
      </c>
      <c r="V32" s="169">
        <v>0</v>
      </c>
      <c r="W32" s="113">
        <f>ROUND(V32*Valores!$C$2,2)</f>
        <v>0</v>
      </c>
      <c r="X32" s="113">
        <f>ROUND(SUM(F32,H32,J32,Q32)*Valores!$C$3,2)</f>
        <v>81971.839999999997</v>
      </c>
      <c r="Y32" s="188">
        <v>0</v>
      </c>
      <c r="Z32" s="113">
        <f t="shared" si="4"/>
        <v>0</v>
      </c>
      <c r="AA32" s="169">
        <v>0</v>
      </c>
      <c r="AB32" s="113">
        <f>ROUND(AA32*Valores!$C$2,2)</f>
        <v>0</v>
      </c>
      <c r="AC32" s="113">
        <f>ROUND(IF($F$4="NO",Valores!$C$32,Valores!$C$32/2),2)</f>
        <v>23377.77</v>
      </c>
      <c r="AD32" s="113">
        <f>SUM(F32,H32,J32,L32,M32,N32,O32,P32,Q32,S32,T32,U32,W32,X32,Z32,AB32,AC32)*Valores!$C$58</f>
        <v>125949.13</v>
      </c>
      <c r="AE32" s="113">
        <f t="shared" si="5"/>
        <v>1385440.4300000002</v>
      </c>
      <c r="AF32" s="113">
        <f>Valores!$C$12</f>
        <v>72856</v>
      </c>
      <c r="AG32" s="113">
        <f>Valores!$C$59</f>
        <v>25000</v>
      </c>
      <c r="AH32" s="113">
        <f t="shared" si="1"/>
        <v>97856</v>
      </c>
      <c r="AI32" s="113">
        <f>AE32*Valores!$C$39</f>
        <v>-152398.44730000003</v>
      </c>
      <c r="AJ32" s="113">
        <f>IF(AE32&lt;Valores!$E$40,-0.02,IF(AE32&lt;Valores!$F$40,-0.03,-0.04))*AE32</f>
        <v>-55417.617200000008</v>
      </c>
      <c r="AK32" s="113">
        <f>AE32*Valores!$C$42</f>
        <v>-76199.223650000014</v>
      </c>
      <c r="AL32" s="113">
        <f>Valores!$C$56</f>
        <v>-1270.1600000000001</v>
      </c>
      <c r="AM32" s="113">
        <f>IF($F$5=0,Valores!$C$57,(Valores!$C$57+$F$5*(Valores!$C$57)))</f>
        <v>-7026</v>
      </c>
      <c r="AN32" s="113">
        <f t="shared" si="6"/>
        <v>1190984.9818500001</v>
      </c>
      <c r="AO32" s="113">
        <f t="shared" si="0"/>
        <v>-152398.44730000003</v>
      </c>
      <c r="AP32" s="113">
        <f t="shared" si="7"/>
        <v>-55417.617200000008</v>
      </c>
      <c r="AQ32" s="113">
        <f>AE32*Valores!$C$43</f>
        <v>-37406.891610000006</v>
      </c>
      <c r="AR32" s="113">
        <f>AE32*Valores!$C$44</f>
        <v>-4156.3212900000008</v>
      </c>
      <c r="AS32" s="113">
        <f t="shared" si="2"/>
        <v>1233917.1526000001</v>
      </c>
      <c r="AT32" s="113">
        <f>AE32*Valores!$C$46</f>
        <v>221670.46880000003</v>
      </c>
      <c r="AU32" s="113">
        <f>AE32*Valores!$C$47</f>
        <v>96980.830100000021</v>
      </c>
      <c r="AV32" s="113">
        <f>AE32*Valores!$C$48</f>
        <v>13854.404300000002</v>
      </c>
      <c r="AW32" s="113">
        <f>AE32*Valores!$C$50</f>
        <v>48490.415050000011</v>
      </c>
      <c r="AX32" s="113">
        <f>AE32*Valores!$C$52</f>
        <v>74813.783220000012</v>
      </c>
      <c r="AY32" s="113">
        <f>AE32*Valores!$C$51</f>
        <v>8312.6425800000015</v>
      </c>
      <c r="AZ32" s="114"/>
      <c r="BA32" s="114">
        <v>45</v>
      </c>
      <c r="BB32" s="111" t="s">
        <v>8</v>
      </c>
    </row>
    <row r="33" spans="1:54" s="100" customFormat="1" ht="11.25" customHeight="1" x14ac:dyDescent="0.15">
      <c r="A33" s="111" t="s">
        <v>122</v>
      </c>
      <c r="B33" s="111">
        <v>1</v>
      </c>
      <c r="C33" s="114">
        <v>26</v>
      </c>
      <c r="D33" s="112" t="s">
        <v>123</v>
      </c>
      <c r="E33" s="169">
        <v>92</v>
      </c>
      <c r="F33" s="113">
        <f>ROUND(E33*Valores!$C$2,2)</f>
        <v>8998.15</v>
      </c>
      <c r="G33" s="169">
        <v>3483</v>
      </c>
      <c r="H33" s="113">
        <f>ROUND(G33*Valores!$C$2,2)</f>
        <v>340658.3</v>
      </c>
      <c r="I33" s="169">
        <v>1217</v>
      </c>
      <c r="J33" s="113">
        <f>ROUND(I33*Valores!$C$2,2)</f>
        <v>119029.9</v>
      </c>
      <c r="K33" s="169">
        <v>0</v>
      </c>
      <c r="L33" s="113">
        <f>ROUND(K33*Valores!$C$2,2)</f>
        <v>0</v>
      </c>
      <c r="M33" s="113">
        <f>ROUND(IF($H$2=0,IF(AND(A33&lt;&gt;"13-930",A33&lt;&gt;"13-940"),(SUM(F33,H33,J33,L33,W33,S33,Q33)*Valores!$C$4),0),0),2)</f>
        <v>141868.22</v>
      </c>
      <c r="N33" s="113">
        <f t="shared" si="3"/>
        <v>0</v>
      </c>
      <c r="O33" s="113">
        <f>Valores!C$90</f>
        <v>362892.97</v>
      </c>
      <c r="P33" s="113">
        <f>Valores!$D$5</f>
        <v>49998.43</v>
      </c>
      <c r="Q33" s="113">
        <f>IF($F$4="NO",Valores!$C$26,Valores!$C$26/2)</f>
        <v>52265.18</v>
      </c>
      <c r="R33" s="113">
        <f>Valores!$C$8</f>
        <v>46521.33</v>
      </c>
      <c r="S33" s="113">
        <f t="shared" si="8"/>
        <v>46521.33</v>
      </c>
      <c r="T33" s="113">
        <v>0</v>
      </c>
      <c r="U33" s="113">
        <v>0</v>
      </c>
      <c r="V33" s="169">
        <v>0</v>
      </c>
      <c r="W33" s="113">
        <f>ROUND(V33*Valores!$C$2,2)</f>
        <v>0</v>
      </c>
      <c r="X33" s="113">
        <v>0</v>
      </c>
      <c r="Y33" s="188">
        <v>0</v>
      </c>
      <c r="Z33" s="113">
        <f t="shared" si="4"/>
        <v>0</v>
      </c>
      <c r="AA33" s="169">
        <v>0</v>
      </c>
      <c r="AB33" s="113">
        <f>ROUND(AA33*Valores!$C$2,2)</f>
        <v>0</v>
      </c>
      <c r="AC33" s="113">
        <f>ROUND(IF($F$4="NO",Valores!$C$32,Valores!$C$32/2),2)</f>
        <v>23377.77</v>
      </c>
      <c r="AD33" s="113">
        <f>SUM(F33,H33,J33,L33,M33,N33,O33,P33,Q33,S33,T33,U33,W33,X33,Z33,AB33,AC33)*Valores!$C$58</f>
        <v>114561.02500000001</v>
      </c>
      <c r="AE33" s="113">
        <f t="shared" si="5"/>
        <v>1260171.2749999999</v>
      </c>
      <c r="AF33" s="113">
        <f>Valores!$C$12</f>
        <v>72856</v>
      </c>
      <c r="AG33" s="113">
        <f>Valores!$C$59</f>
        <v>25000</v>
      </c>
      <c r="AH33" s="113">
        <f t="shared" si="1"/>
        <v>97856</v>
      </c>
      <c r="AI33" s="113">
        <f>AE33*Valores!$C$39</f>
        <v>-138618.84024999998</v>
      </c>
      <c r="AJ33" s="113">
        <f>IF(AE33&lt;Valores!$E$40,-0.02,IF(AE33&lt;Valores!$F$40,-0.03,-0.04))*AE33</f>
        <v>-50406.850999999995</v>
      </c>
      <c r="AK33" s="113">
        <f>AE33*Valores!$C$42</f>
        <v>-69309.42012499999</v>
      </c>
      <c r="AL33" s="113">
        <f>Valores!$C$56</f>
        <v>-1270.1600000000001</v>
      </c>
      <c r="AM33" s="113">
        <f>IF($F$5=0,Valores!$C$57,(Valores!$C$57+$F$5*(Valores!$C$57)))</f>
        <v>-7026</v>
      </c>
      <c r="AN33" s="113">
        <f t="shared" si="6"/>
        <v>1091396.0036249999</v>
      </c>
      <c r="AO33" s="113">
        <f t="shared" si="0"/>
        <v>-138618.84024999998</v>
      </c>
      <c r="AP33" s="113">
        <f t="shared" si="7"/>
        <v>-50406.850999999995</v>
      </c>
      <c r="AQ33" s="113">
        <f>AE33*Valores!$C$43</f>
        <v>-34024.624424999995</v>
      </c>
      <c r="AR33" s="113">
        <f>AE33*Valores!$C$44</f>
        <v>-3780.513825</v>
      </c>
      <c r="AS33" s="113">
        <f t="shared" si="2"/>
        <v>1131196.4454999999</v>
      </c>
      <c r="AT33" s="113">
        <f>AE33*Valores!$C$46</f>
        <v>201627.40399999998</v>
      </c>
      <c r="AU33" s="113">
        <f>AE33*Valores!$C$47</f>
        <v>88211.989249999999</v>
      </c>
      <c r="AV33" s="113">
        <f>AE33*Valores!$C$48</f>
        <v>12601.712749999999</v>
      </c>
      <c r="AW33" s="113">
        <f>AE33*Valores!$C$50</f>
        <v>44105.994624999999</v>
      </c>
      <c r="AX33" s="113">
        <f>AE33*Valores!$C$52</f>
        <v>68049.248849999989</v>
      </c>
      <c r="AY33" s="113">
        <f>AE33*Valores!$C$51</f>
        <v>7561.02765</v>
      </c>
      <c r="AZ33" s="114"/>
      <c r="BA33" s="114">
        <v>45</v>
      </c>
      <c r="BB33" s="111" t="s">
        <v>4</v>
      </c>
    </row>
    <row r="34" spans="1:54" s="100" customFormat="1" ht="11.25" customHeight="1" x14ac:dyDescent="0.15">
      <c r="A34" s="111" t="s">
        <v>124</v>
      </c>
      <c r="B34" s="111">
        <v>1</v>
      </c>
      <c r="C34" s="114">
        <v>27</v>
      </c>
      <c r="D34" s="112" t="s">
        <v>125</v>
      </c>
      <c r="E34" s="169">
        <v>85</v>
      </c>
      <c r="F34" s="113">
        <f>ROUND(E34*Valores!$C$2,2)</f>
        <v>8313.51</v>
      </c>
      <c r="G34" s="169">
        <v>3498</v>
      </c>
      <c r="H34" s="113">
        <f>ROUND(G34*Valores!$C$2,2)</f>
        <v>342125.39</v>
      </c>
      <c r="I34" s="169">
        <v>1209</v>
      </c>
      <c r="J34" s="113">
        <f>ROUND(I34*Valores!$C$2,2)</f>
        <v>118247.45</v>
      </c>
      <c r="K34" s="169">
        <v>0</v>
      </c>
      <c r="L34" s="113">
        <f>ROUND(K34*Valores!$C$2,2)</f>
        <v>0</v>
      </c>
      <c r="M34" s="113">
        <f>ROUND(IF($H$2=0,IF(AND(A34&lt;&gt;"13-930",A34&lt;&gt;"13-940"),(SUM(F34,H34,J34,L34,W34,S34,Q34)*Valores!$C$4),0),0),2)</f>
        <v>141868.22</v>
      </c>
      <c r="N34" s="113">
        <f t="shared" si="3"/>
        <v>0</v>
      </c>
      <c r="O34" s="113">
        <f>Valores!C$90</f>
        <v>362892.97</v>
      </c>
      <c r="P34" s="113">
        <f>Valores!$D$5</f>
        <v>49998.43</v>
      </c>
      <c r="Q34" s="113">
        <f>IF($F$4="NO",Valores!$C$26,Valores!$C$26/2)</f>
        <v>52265.18</v>
      </c>
      <c r="R34" s="113">
        <f>Valores!$C$8</f>
        <v>46521.33</v>
      </c>
      <c r="S34" s="113">
        <f t="shared" si="8"/>
        <v>46521.33</v>
      </c>
      <c r="T34" s="113">
        <v>0</v>
      </c>
      <c r="U34" s="113">
        <v>0</v>
      </c>
      <c r="V34" s="169">
        <v>0</v>
      </c>
      <c r="W34" s="113">
        <f>ROUND(V34*Valores!$C$2,2)</f>
        <v>0</v>
      </c>
      <c r="X34" s="113">
        <v>0</v>
      </c>
      <c r="Y34" s="188">
        <v>0</v>
      </c>
      <c r="Z34" s="113">
        <f t="shared" si="4"/>
        <v>0</v>
      </c>
      <c r="AA34" s="169">
        <v>0</v>
      </c>
      <c r="AB34" s="113">
        <f>ROUND(AA34*Valores!$C$2,2)</f>
        <v>0</v>
      </c>
      <c r="AC34" s="113">
        <f>ROUND(IF($F$4="NO",Valores!$C$32,Valores!$C$32/2),2)</f>
        <v>23377.77</v>
      </c>
      <c r="AD34" s="113">
        <f>SUM(F34,H34,J34,L34,M34,N34,O34,P34,Q34,S34,T34,U34,W34,X34,Z34,AB34,AC34)*Valores!$C$58</f>
        <v>114561.02500000002</v>
      </c>
      <c r="AE34" s="113">
        <f t="shared" si="5"/>
        <v>1260171.2750000004</v>
      </c>
      <c r="AF34" s="113">
        <f>Valores!$C$12</f>
        <v>72856</v>
      </c>
      <c r="AG34" s="113">
        <f>Valores!$C$59</f>
        <v>25000</v>
      </c>
      <c r="AH34" s="113">
        <f t="shared" si="1"/>
        <v>97856</v>
      </c>
      <c r="AI34" s="113">
        <f>AE34*Valores!$C$39</f>
        <v>-138618.84025000004</v>
      </c>
      <c r="AJ34" s="113">
        <f>IF(AE34&lt;Valores!$E$40,-0.02,IF(AE34&lt;Valores!$F$40,-0.03,-0.04))*AE34</f>
        <v>-50406.851000000017</v>
      </c>
      <c r="AK34" s="113">
        <f>AE34*Valores!$C$42</f>
        <v>-69309.420125000019</v>
      </c>
      <c r="AL34" s="113">
        <f>Valores!$C$56</f>
        <v>-1270.1600000000001</v>
      </c>
      <c r="AM34" s="113">
        <f>IF($F$5=0,Valores!$C$57,(Valores!$C$57+$F$5*(Valores!$C$57)))</f>
        <v>-7026</v>
      </c>
      <c r="AN34" s="113">
        <f t="shared" si="6"/>
        <v>1091396.0036250004</v>
      </c>
      <c r="AO34" s="113">
        <f t="shared" si="0"/>
        <v>-138618.84025000004</v>
      </c>
      <c r="AP34" s="113">
        <f t="shared" si="7"/>
        <v>-50406.851000000017</v>
      </c>
      <c r="AQ34" s="113">
        <f>AE34*Valores!$C$43</f>
        <v>-34024.624425000009</v>
      </c>
      <c r="AR34" s="113">
        <f>AE34*Valores!$C$44</f>
        <v>-3780.5138250000014</v>
      </c>
      <c r="AS34" s="113">
        <f t="shared" si="2"/>
        <v>1131196.4455000004</v>
      </c>
      <c r="AT34" s="113">
        <f>AE34*Valores!$C$46</f>
        <v>201627.40400000007</v>
      </c>
      <c r="AU34" s="113">
        <f>AE34*Valores!$C$47</f>
        <v>88211.989250000028</v>
      </c>
      <c r="AV34" s="113">
        <f>AE34*Valores!$C$48</f>
        <v>12601.712750000004</v>
      </c>
      <c r="AW34" s="113">
        <f>AE34*Valores!$C$50</f>
        <v>44105.994625000014</v>
      </c>
      <c r="AX34" s="113">
        <f>AE34*Valores!$C$52</f>
        <v>68049.248850000018</v>
      </c>
      <c r="AY34" s="113">
        <f>AE34*Valores!$C$51</f>
        <v>7561.0276500000027</v>
      </c>
      <c r="AZ34" s="114"/>
      <c r="BA34" s="114">
        <v>45</v>
      </c>
      <c r="BB34" s="111" t="s">
        <v>4</v>
      </c>
    </row>
    <row r="35" spans="1:54" s="100" customFormat="1" ht="11.25" customHeight="1" x14ac:dyDescent="0.15">
      <c r="A35" s="111" t="s">
        <v>126</v>
      </c>
      <c r="B35" s="111">
        <v>1</v>
      </c>
      <c r="C35" s="114">
        <v>28</v>
      </c>
      <c r="D35" s="112" t="s">
        <v>127</v>
      </c>
      <c r="E35" s="169">
        <v>92</v>
      </c>
      <c r="F35" s="113">
        <f>ROUND(E35*Valores!$C$2,2)</f>
        <v>8998.15</v>
      </c>
      <c r="G35" s="169">
        <v>3483</v>
      </c>
      <c r="H35" s="113">
        <f>ROUND(G35*Valores!$C$2,2)</f>
        <v>340658.3</v>
      </c>
      <c r="I35" s="169">
        <v>1217</v>
      </c>
      <c r="J35" s="113">
        <f>ROUND(I35*Valores!$C$2,2)</f>
        <v>119029.9</v>
      </c>
      <c r="K35" s="169">
        <v>0</v>
      </c>
      <c r="L35" s="113">
        <f>ROUND(K35*Valores!$C$2,2)</f>
        <v>0</v>
      </c>
      <c r="M35" s="113">
        <f>ROUND(IF($H$2=0,IF(AND(A35&lt;&gt;"13-930",A35&lt;&gt;"13-940"),(SUM(F35,H35,J35,L35,W35,S35,Q35)*Valores!$C$4),0),0),2)</f>
        <v>141868.22</v>
      </c>
      <c r="N35" s="113">
        <f t="shared" si="3"/>
        <v>0</v>
      </c>
      <c r="O35" s="113">
        <f>Valores!C$90</f>
        <v>362892.97</v>
      </c>
      <c r="P35" s="113">
        <f>Valores!$D$5</f>
        <v>49998.43</v>
      </c>
      <c r="Q35" s="113">
        <f>IF($F$4="NO",Valores!$C$26,Valores!$C$26/2)</f>
        <v>52265.18</v>
      </c>
      <c r="R35" s="113">
        <f>Valores!$C$8</f>
        <v>46521.33</v>
      </c>
      <c r="S35" s="113">
        <f t="shared" si="8"/>
        <v>46521.33</v>
      </c>
      <c r="T35" s="113">
        <v>0</v>
      </c>
      <c r="U35" s="113">
        <v>0</v>
      </c>
      <c r="V35" s="169">
        <v>0</v>
      </c>
      <c r="W35" s="113">
        <f>ROUND(V35*Valores!$C$2,2)</f>
        <v>0</v>
      </c>
      <c r="X35" s="113">
        <v>0</v>
      </c>
      <c r="Y35" s="188">
        <v>0</v>
      </c>
      <c r="Z35" s="113">
        <f t="shared" si="4"/>
        <v>0</v>
      </c>
      <c r="AA35" s="169">
        <v>0</v>
      </c>
      <c r="AB35" s="113">
        <f>ROUND(AA35*Valores!$C$2,2)</f>
        <v>0</v>
      </c>
      <c r="AC35" s="113">
        <f>ROUND(IF($F$4="NO",Valores!$C$32,Valores!$C$32/2),2)</f>
        <v>23377.77</v>
      </c>
      <c r="AD35" s="113">
        <f>SUM(F35,H35,J35,L35,M35,N35,O35,P35,Q35,S35,T35,U35,W35,X35,Z35,AB35,AC35)*Valores!$C$58</f>
        <v>114561.02500000001</v>
      </c>
      <c r="AE35" s="113">
        <f t="shared" si="5"/>
        <v>1260171.2749999999</v>
      </c>
      <c r="AF35" s="113">
        <f>Valores!$C$12</f>
        <v>72856</v>
      </c>
      <c r="AG35" s="113">
        <f>Valores!$C$59</f>
        <v>25000</v>
      </c>
      <c r="AH35" s="113">
        <f t="shared" si="1"/>
        <v>97856</v>
      </c>
      <c r="AI35" s="113">
        <f>AE35*Valores!$C$39</f>
        <v>-138618.84024999998</v>
      </c>
      <c r="AJ35" s="113">
        <f>IF(AE35&lt;Valores!$E$40,-0.02,IF(AE35&lt;Valores!$F$40,-0.03,-0.04))*AE35</f>
        <v>-50406.850999999995</v>
      </c>
      <c r="AK35" s="113">
        <f>AE35*Valores!$C$42</f>
        <v>-69309.42012499999</v>
      </c>
      <c r="AL35" s="113">
        <f>Valores!$C$56</f>
        <v>-1270.1600000000001</v>
      </c>
      <c r="AM35" s="113">
        <f>IF($F$5=0,Valores!$C$57,(Valores!$C$57+$F$5*(Valores!$C$57)))</f>
        <v>-7026</v>
      </c>
      <c r="AN35" s="113">
        <f t="shared" si="6"/>
        <v>1091396.0036249999</v>
      </c>
      <c r="AO35" s="113">
        <f t="shared" si="0"/>
        <v>-138618.84024999998</v>
      </c>
      <c r="AP35" s="113">
        <f t="shared" si="7"/>
        <v>-50406.850999999995</v>
      </c>
      <c r="AQ35" s="113">
        <f>AE35*Valores!$C$43</f>
        <v>-34024.624424999995</v>
      </c>
      <c r="AR35" s="113">
        <f>AE35*Valores!$C$44</f>
        <v>-3780.513825</v>
      </c>
      <c r="AS35" s="113">
        <f t="shared" si="2"/>
        <v>1131196.4454999999</v>
      </c>
      <c r="AT35" s="113">
        <f>AE35*Valores!$C$46</f>
        <v>201627.40399999998</v>
      </c>
      <c r="AU35" s="113">
        <f>AE35*Valores!$C$47</f>
        <v>88211.989249999999</v>
      </c>
      <c r="AV35" s="113">
        <f>AE35*Valores!$C$48</f>
        <v>12601.712749999999</v>
      </c>
      <c r="AW35" s="113">
        <f>AE35*Valores!$C$50</f>
        <v>44105.994624999999</v>
      </c>
      <c r="AX35" s="113">
        <f>AE35*Valores!$C$52</f>
        <v>68049.248849999989</v>
      </c>
      <c r="AY35" s="113">
        <f>AE35*Valores!$C$51</f>
        <v>7561.02765</v>
      </c>
      <c r="AZ35" s="114"/>
      <c r="BA35" s="114">
        <v>45</v>
      </c>
      <c r="BB35" s="111" t="s">
        <v>4</v>
      </c>
    </row>
    <row r="36" spans="1:54" s="100" customFormat="1" ht="11.25" customHeight="1" x14ac:dyDescent="0.15">
      <c r="A36" s="111" t="s">
        <v>128</v>
      </c>
      <c r="B36" s="111">
        <v>1</v>
      </c>
      <c r="C36" s="114">
        <v>29</v>
      </c>
      <c r="D36" s="112" t="s">
        <v>129</v>
      </c>
      <c r="E36" s="169">
        <v>85</v>
      </c>
      <c r="F36" s="113">
        <f>ROUND(E36*Valores!$C$2,2)</f>
        <v>8313.51</v>
      </c>
      <c r="G36" s="169">
        <v>3498</v>
      </c>
      <c r="H36" s="113">
        <f>ROUND(G36*Valores!$C$2,2)</f>
        <v>342125.39</v>
      </c>
      <c r="I36" s="169">
        <v>1209</v>
      </c>
      <c r="J36" s="113">
        <f>ROUND(I36*Valores!$C$2,2)</f>
        <v>118247.45</v>
      </c>
      <c r="K36" s="169">
        <v>0</v>
      </c>
      <c r="L36" s="113">
        <f>ROUND(K36*Valores!$C$2,2)</f>
        <v>0</v>
      </c>
      <c r="M36" s="113">
        <f>ROUND(IF($H$2=0,IF(AND(A36&lt;&gt;"13-930",A36&lt;&gt;"13-940"),(SUM(F36,H36,J36,L36,W36,S36,Q36)*Valores!$C$4),0),0),2)</f>
        <v>141868.22</v>
      </c>
      <c r="N36" s="113">
        <f t="shared" si="3"/>
        <v>0</v>
      </c>
      <c r="O36" s="113">
        <f>Valores!C$90</f>
        <v>362892.97</v>
      </c>
      <c r="P36" s="113">
        <f>Valores!$D$5</f>
        <v>49998.43</v>
      </c>
      <c r="Q36" s="113">
        <f>IF($F$4="NO",Valores!$C$26,Valores!$C$26/2)</f>
        <v>52265.18</v>
      </c>
      <c r="R36" s="113">
        <f>Valores!$C$8</f>
        <v>46521.33</v>
      </c>
      <c r="S36" s="113">
        <f t="shared" si="8"/>
        <v>46521.33</v>
      </c>
      <c r="T36" s="113">
        <v>0</v>
      </c>
      <c r="U36" s="113">
        <v>0</v>
      </c>
      <c r="V36" s="169">
        <v>0</v>
      </c>
      <c r="W36" s="113">
        <f>ROUND(V36*Valores!$C$2,2)</f>
        <v>0</v>
      </c>
      <c r="X36" s="113">
        <v>0</v>
      </c>
      <c r="Y36" s="188">
        <v>0</v>
      </c>
      <c r="Z36" s="113">
        <f t="shared" si="4"/>
        <v>0</v>
      </c>
      <c r="AA36" s="169">
        <v>0</v>
      </c>
      <c r="AB36" s="113">
        <f>ROUND(AA36*Valores!$C$2,2)</f>
        <v>0</v>
      </c>
      <c r="AC36" s="113">
        <f>ROUND(IF($F$4="NO",Valores!$C$32,Valores!$C$32/2),2)</f>
        <v>23377.77</v>
      </c>
      <c r="AD36" s="113">
        <f>SUM(F36,H36,J36,L36,M36,N36,O36,P36,Q36,S36,T36,U36,W36,X36,Z36,AB36,AC36)*Valores!$C$58</f>
        <v>114561.02500000002</v>
      </c>
      <c r="AE36" s="113">
        <f t="shared" si="5"/>
        <v>1260171.2750000004</v>
      </c>
      <c r="AF36" s="113">
        <f>Valores!$C$12</f>
        <v>72856</v>
      </c>
      <c r="AG36" s="113">
        <f>Valores!$C$59</f>
        <v>25000</v>
      </c>
      <c r="AH36" s="113">
        <f t="shared" si="1"/>
        <v>97856</v>
      </c>
      <c r="AI36" s="113">
        <f>AE36*Valores!$C$39</f>
        <v>-138618.84025000004</v>
      </c>
      <c r="AJ36" s="113">
        <f>IF(AE36&lt;Valores!$E$40,-0.02,IF(AE36&lt;Valores!$F$40,-0.03,-0.04))*AE36</f>
        <v>-50406.851000000017</v>
      </c>
      <c r="AK36" s="113">
        <f>AE36*Valores!$C$42</f>
        <v>-69309.420125000019</v>
      </c>
      <c r="AL36" s="113">
        <f>Valores!$C$56</f>
        <v>-1270.1600000000001</v>
      </c>
      <c r="AM36" s="113">
        <f>IF($F$5=0,Valores!$C$57,(Valores!$C$57+$F$5*(Valores!$C$57)))</f>
        <v>-7026</v>
      </c>
      <c r="AN36" s="113">
        <f t="shared" si="6"/>
        <v>1091396.0036250004</v>
      </c>
      <c r="AO36" s="113">
        <f t="shared" si="0"/>
        <v>-138618.84025000004</v>
      </c>
      <c r="AP36" s="113">
        <f t="shared" si="7"/>
        <v>-50406.851000000017</v>
      </c>
      <c r="AQ36" s="113">
        <f>AE36*Valores!$C$43</f>
        <v>-34024.624425000009</v>
      </c>
      <c r="AR36" s="113">
        <f>AE36*Valores!$C$44</f>
        <v>-3780.5138250000014</v>
      </c>
      <c r="AS36" s="113">
        <f t="shared" si="2"/>
        <v>1131196.4455000004</v>
      </c>
      <c r="AT36" s="113">
        <f>AE36*Valores!$C$46</f>
        <v>201627.40400000007</v>
      </c>
      <c r="AU36" s="113">
        <f>AE36*Valores!$C$47</f>
        <v>88211.989250000028</v>
      </c>
      <c r="AV36" s="113">
        <f>AE36*Valores!$C$48</f>
        <v>12601.712750000004</v>
      </c>
      <c r="AW36" s="113">
        <f>AE36*Valores!$C$50</f>
        <v>44105.994625000014</v>
      </c>
      <c r="AX36" s="113">
        <f>AE36*Valores!$C$52</f>
        <v>68049.248850000018</v>
      </c>
      <c r="AY36" s="113">
        <f>AE36*Valores!$C$51</f>
        <v>7561.0276500000027</v>
      </c>
      <c r="AZ36" s="114"/>
      <c r="BA36" s="114">
        <v>45</v>
      </c>
      <c r="BB36" s="111" t="s">
        <v>8</v>
      </c>
    </row>
    <row r="37" spans="1:54" s="100" customFormat="1" ht="11.25" customHeight="1" x14ac:dyDescent="0.15">
      <c r="A37" s="111" t="s">
        <v>130</v>
      </c>
      <c r="B37" s="111">
        <v>1</v>
      </c>
      <c r="C37" s="114">
        <v>30</v>
      </c>
      <c r="D37" s="112" t="s">
        <v>131</v>
      </c>
      <c r="E37" s="169">
        <v>92</v>
      </c>
      <c r="F37" s="113">
        <f>ROUND(E37*Valores!$C$2,2)</f>
        <v>8998.15</v>
      </c>
      <c r="G37" s="169">
        <v>3483</v>
      </c>
      <c r="H37" s="113">
        <f>ROUND(G37*Valores!$C$2,2)</f>
        <v>340658.3</v>
      </c>
      <c r="I37" s="169">
        <v>1217</v>
      </c>
      <c r="J37" s="113">
        <f>ROUND(I37*Valores!$C$2,2)</f>
        <v>119029.9</v>
      </c>
      <c r="K37" s="169">
        <v>0</v>
      </c>
      <c r="L37" s="113">
        <f>ROUND(K37*Valores!$C$2,2)</f>
        <v>0</v>
      </c>
      <c r="M37" s="113">
        <f>ROUND(IF($H$2=0,IF(AND(A37&lt;&gt;"13-930",A37&lt;&gt;"13-940"),(SUM(F37,H37,J37,L37,W37,S37,Q37)*Valores!$C$4),0),0),2)</f>
        <v>141868.22</v>
      </c>
      <c r="N37" s="113">
        <f t="shared" si="3"/>
        <v>0</v>
      </c>
      <c r="O37" s="113">
        <f>Valores!C$90</f>
        <v>362892.97</v>
      </c>
      <c r="P37" s="113">
        <f>Valores!$D$5</f>
        <v>49998.43</v>
      </c>
      <c r="Q37" s="113">
        <f>IF($F$4="NO",Valores!$C$26,Valores!$C$26/2)</f>
        <v>52265.18</v>
      </c>
      <c r="R37" s="113">
        <f>Valores!$C$8</f>
        <v>46521.33</v>
      </c>
      <c r="S37" s="113">
        <f t="shared" si="8"/>
        <v>46521.33</v>
      </c>
      <c r="T37" s="113">
        <v>0</v>
      </c>
      <c r="U37" s="113">
        <v>0</v>
      </c>
      <c r="V37" s="169">
        <v>0</v>
      </c>
      <c r="W37" s="113">
        <f>ROUND(V37*Valores!$C$2,2)</f>
        <v>0</v>
      </c>
      <c r="X37" s="113">
        <f>ROUND(SUM(F37,H37,J37,Q37)*Valores!$C$3,2)</f>
        <v>78142.73</v>
      </c>
      <c r="Y37" s="188">
        <v>0</v>
      </c>
      <c r="Z37" s="113">
        <f t="shared" si="4"/>
        <v>0</v>
      </c>
      <c r="AA37" s="169">
        <v>0</v>
      </c>
      <c r="AB37" s="113">
        <f>ROUND(AA37*Valores!$C$2,2)</f>
        <v>0</v>
      </c>
      <c r="AC37" s="113">
        <f>ROUND(IF($F$4="NO",Valores!$C$32,Valores!$C$32/2),2)</f>
        <v>23377.77</v>
      </c>
      <c r="AD37" s="113">
        <f>SUM(F37,H37,J37,L37,M37,N37,O37,P37,Q37,S37,T37,U37,W37,X37,Z37,AB37,AC37)*Valores!$C$58</f>
        <v>122375.29800000001</v>
      </c>
      <c r="AE37" s="113">
        <f t="shared" si="5"/>
        <v>1346128.2779999999</v>
      </c>
      <c r="AF37" s="113">
        <f>Valores!$C$12</f>
        <v>72856</v>
      </c>
      <c r="AG37" s="113">
        <f>Valores!$C$59</f>
        <v>25000</v>
      </c>
      <c r="AH37" s="113">
        <f t="shared" si="1"/>
        <v>97856</v>
      </c>
      <c r="AI37" s="113">
        <f>AE37*Valores!$C$39</f>
        <v>-148074.11058000001</v>
      </c>
      <c r="AJ37" s="113">
        <f>IF(AE37&lt;Valores!$E$40,-0.02,IF(AE37&lt;Valores!$F$40,-0.03,-0.04))*AE37</f>
        <v>-53845.131119999998</v>
      </c>
      <c r="AK37" s="113">
        <f>AE37*Valores!$C$42</f>
        <v>-74037.055290000004</v>
      </c>
      <c r="AL37" s="113">
        <f>Valores!$C$56</f>
        <v>-1270.1600000000001</v>
      </c>
      <c r="AM37" s="113">
        <f>IF($F$5=0,Valores!$C$57,(Valores!$C$57+$F$5*(Valores!$C$57)))</f>
        <v>-7026</v>
      </c>
      <c r="AN37" s="113">
        <f t="shared" si="6"/>
        <v>1159731.8210099998</v>
      </c>
      <c r="AO37" s="113">
        <f t="shared" si="0"/>
        <v>-148074.11058000001</v>
      </c>
      <c r="AP37" s="113">
        <f t="shared" si="7"/>
        <v>-53845.131119999998</v>
      </c>
      <c r="AQ37" s="113">
        <f>AE37*Valores!$C$43</f>
        <v>-36345.463506</v>
      </c>
      <c r="AR37" s="113">
        <f>AE37*Valores!$C$44</f>
        <v>-4038.384834</v>
      </c>
      <c r="AS37" s="113">
        <f t="shared" si="2"/>
        <v>1201681.18796</v>
      </c>
      <c r="AT37" s="113">
        <f>AE37*Valores!$C$46</f>
        <v>215380.52447999999</v>
      </c>
      <c r="AU37" s="113">
        <f>AE37*Valores!$C$47</f>
        <v>94228.979460000002</v>
      </c>
      <c r="AV37" s="113">
        <f>AE37*Valores!$C$48</f>
        <v>13461.28278</v>
      </c>
      <c r="AW37" s="113">
        <f>AE37*Valores!$C$50</f>
        <v>47114.489730000001</v>
      </c>
      <c r="AX37" s="113">
        <f>AE37*Valores!$C$52</f>
        <v>72690.927012</v>
      </c>
      <c r="AY37" s="113">
        <f>AE37*Valores!$C$51</f>
        <v>8076.7696679999999</v>
      </c>
      <c r="AZ37" s="114"/>
      <c r="BA37" s="114">
        <v>45</v>
      </c>
      <c r="BB37" s="111" t="s">
        <v>8</v>
      </c>
    </row>
    <row r="38" spans="1:54" s="100" customFormat="1" ht="11.25" customHeight="1" x14ac:dyDescent="0.15">
      <c r="A38" s="111" t="s">
        <v>132</v>
      </c>
      <c r="B38" s="111">
        <v>1</v>
      </c>
      <c r="C38" s="114">
        <v>31</v>
      </c>
      <c r="D38" s="112" t="s">
        <v>133</v>
      </c>
      <c r="E38" s="169">
        <v>85</v>
      </c>
      <c r="F38" s="113">
        <f>ROUND(E38*Valores!$C$2,2)</f>
        <v>8313.51</v>
      </c>
      <c r="G38" s="169">
        <v>3498</v>
      </c>
      <c r="H38" s="113">
        <f>ROUND(G38*Valores!$C$2,2)</f>
        <v>342125.39</v>
      </c>
      <c r="I38" s="169">
        <v>202</v>
      </c>
      <c r="J38" s="113">
        <f>ROUND(I38*Valores!$C$2,2)</f>
        <v>19756.810000000001</v>
      </c>
      <c r="K38" s="169">
        <v>0</v>
      </c>
      <c r="L38" s="113">
        <f>ROUND(K38*Valores!$C$2,2)</f>
        <v>0</v>
      </c>
      <c r="M38" s="113">
        <f>ROUND(IF($H$2=0,IF(AND(A38&lt;&gt;"13-930",A38&lt;&gt;"13-940"),(SUM(F38,H38,J38,L38,W38,S38,Q38)*Valores!$C$4),0),0),2)</f>
        <v>117245.56</v>
      </c>
      <c r="N38" s="113">
        <f t="shared" si="3"/>
        <v>0</v>
      </c>
      <c r="O38" s="113">
        <f>Valores!C$90</f>
        <v>362892.97</v>
      </c>
      <c r="P38" s="113">
        <f>Valores!$D$5</f>
        <v>49998.43</v>
      </c>
      <c r="Q38" s="113">
        <f>IF($F$4="NO",Valores!$C$26,Valores!$C$26/2)</f>
        <v>52265.18</v>
      </c>
      <c r="R38" s="113">
        <f>Valores!$C$8</f>
        <v>46521.33</v>
      </c>
      <c r="S38" s="113">
        <f t="shared" si="8"/>
        <v>46521.33</v>
      </c>
      <c r="T38" s="113">
        <v>0</v>
      </c>
      <c r="U38" s="113">
        <v>0</v>
      </c>
      <c r="V38" s="169">
        <v>0</v>
      </c>
      <c r="W38" s="113">
        <f>ROUND(V38*Valores!$C$2,2)</f>
        <v>0</v>
      </c>
      <c r="X38" s="113">
        <v>0</v>
      </c>
      <c r="Y38" s="188">
        <v>0</v>
      </c>
      <c r="Z38" s="113">
        <f t="shared" si="4"/>
        <v>0</v>
      </c>
      <c r="AA38" s="169">
        <v>0</v>
      </c>
      <c r="AB38" s="113">
        <f>ROUND(AA38*Valores!$C$2,2)</f>
        <v>0</v>
      </c>
      <c r="AC38" s="113">
        <f>ROUND(IF($F$4="NO",Valores!$C$32,Valores!$C$32/2),2)</f>
        <v>23377.77</v>
      </c>
      <c r="AD38" s="113">
        <f>SUM(F38,H38,J38,L38,M38,N38,O38,P38,Q38,S38,T38,U38,W38,X38,Z38,AB38,AC38)*Valores!$C$58</f>
        <v>102249.69500000001</v>
      </c>
      <c r="AE38" s="113">
        <f t="shared" si="5"/>
        <v>1124746.645</v>
      </c>
      <c r="AF38" s="113">
        <f>Valores!$C$12</f>
        <v>72856</v>
      </c>
      <c r="AG38" s="113">
        <f>Valores!$C$59</f>
        <v>25000</v>
      </c>
      <c r="AH38" s="113">
        <f t="shared" si="1"/>
        <v>97856</v>
      </c>
      <c r="AI38" s="113">
        <f>AE38*Valores!$C$39</f>
        <v>-123722.13095000001</v>
      </c>
      <c r="AJ38" s="113">
        <f>IF(AE38&lt;Valores!$E$40,-0.02,IF(AE38&lt;Valores!$F$40,-0.03,-0.04))*AE38</f>
        <v>-44989.8658</v>
      </c>
      <c r="AK38" s="113">
        <f>AE38*Valores!$C$42</f>
        <v>-61861.065475000003</v>
      </c>
      <c r="AL38" s="113">
        <f>Valores!$C$56</f>
        <v>-1270.1600000000001</v>
      </c>
      <c r="AM38" s="113">
        <f>IF($F$5=0,Valores!$C$57,(Valores!$C$57+$F$5*(Valores!$C$57)))</f>
        <v>-7026</v>
      </c>
      <c r="AN38" s="113">
        <f t="shared" si="6"/>
        <v>983733.42277499998</v>
      </c>
      <c r="AO38" s="113">
        <f t="shared" si="0"/>
        <v>-123722.13095000001</v>
      </c>
      <c r="AP38" s="113">
        <f t="shared" si="7"/>
        <v>-44989.8658</v>
      </c>
      <c r="AQ38" s="113">
        <f>AE38*Valores!$C$43</f>
        <v>-30368.159415000002</v>
      </c>
      <c r="AR38" s="113">
        <f>AE38*Valores!$C$44</f>
        <v>-3374.2399350000001</v>
      </c>
      <c r="AS38" s="113">
        <f t="shared" si="2"/>
        <v>1020148.2489</v>
      </c>
      <c r="AT38" s="113">
        <f>AE38*Valores!$C$46</f>
        <v>179959.4632</v>
      </c>
      <c r="AU38" s="113">
        <f>AE38*Valores!$C$47</f>
        <v>78732.265150000007</v>
      </c>
      <c r="AV38" s="113">
        <f>AE38*Valores!$C$48</f>
        <v>11247.46645</v>
      </c>
      <c r="AW38" s="113">
        <f>AE38*Valores!$C$50</f>
        <v>39366.132575000003</v>
      </c>
      <c r="AX38" s="113">
        <f>AE38*Valores!$C$52</f>
        <v>60736.318830000004</v>
      </c>
      <c r="AY38" s="113">
        <f>AE38*Valores!$C$51</f>
        <v>6748.4798700000001</v>
      </c>
      <c r="AZ38" s="114"/>
      <c r="BA38" s="114">
        <v>45</v>
      </c>
      <c r="BB38" s="111" t="s">
        <v>8</v>
      </c>
    </row>
    <row r="39" spans="1:54" s="100" customFormat="1" ht="11.25" customHeight="1" x14ac:dyDescent="0.15">
      <c r="A39" s="111" t="s">
        <v>134</v>
      </c>
      <c r="B39" s="111">
        <v>1</v>
      </c>
      <c r="C39" s="114">
        <v>32</v>
      </c>
      <c r="D39" s="112" t="s">
        <v>135</v>
      </c>
      <c r="E39" s="169">
        <v>85</v>
      </c>
      <c r="F39" s="113">
        <f>ROUND(E39*Valores!$C$2,2)</f>
        <v>8313.51</v>
      </c>
      <c r="G39" s="169">
        <v>3498</v>
      </c>
      <c r="H39" s="113">
        <f>ROUND(G39*Valores!$C$2,2)</f>
        <v>342125.39</v>
      </c>
      <c r="I39" s="169">
        <v>1209</v>
      </c>
      <c r="J39" s="113">
        <f>ROUND(I39*Valores!$C$2,2)</f>
        <v>118247.45</v>
      </c>
      <c r="K39" s="169">
        <v>0</v>
      </c>
      <c r="L39" s="113">
        <f>ROUND(K39*Valores!$C$2,2)</f>
        <v>0</v>
      </c>
      <c r="M39" s="113">
        <f>ROUND(IF($H$2=0,IF(AND(A39&lt;&gt;"13-930",A39&lt;&gt;"13-940"),(SUM(F39,H39,J39,L39,W39,S39,Q39)*Valores!$C$4),0),0),2)</f>
        <v>141868.22</v>
      </c>
      <c r="N39" s="113">
        <f t="shared" si="3"/>
        <v>0</v>
      </c>
      <c r="O39" s="113">
        <f>Valores!C$90</f>
        <v>362892.97</v>
      </c>
      <c r="P39" s="113">
        <f>Valores!$D$5</f>
        <v>49998.43</v>
      </c>
      <c r="Q39" s="113">
        <f>IF($F$4="NO",Valores!$C$26,Valores!$C$26/2)</f>
        <v>52265.18</v>
      </c>
      <c r="R39" s="113">
        <f>Valores!$C$8</f>
        <v>46521.33</v>
      </c>
      <c r="S39" s="113">
        <f t="shared" si="8"/>
        <v>46521.33</v>
      </c>
      <c r="T39" s="113">
        <v>0</v>
      </c>
      <c r="U39" s="113">
        <v>0</v>
      </c>
      <c r="V39" s="169">
        <v>0</v>
      </c>
      <c r="W39" s="113">
        <f>ROUND(V39*Valores!$C$2,2)</f>
        <v>0</v>
      </c>
      <c r="X39" s="113">
        <v>0</v>
      </c>
      <c r="Y39" s="188">
        <v>0</v>
      </c>
      <c r="Z39" s="113">
        <f t="shared" si="4"/>
        <v>0</v>
      </c>
      <c r="AA39" s="169">
        <v>0</v>
      </c>
      <c r="AB39" s="113">
        <f>ROUND(AA39*Valores!$C$2,2)</f>
        <v>0</v>
      </c>
      <c r="AC39" s="113">
        <f>ROUND(IF($F$4="NO",Valores!$C$32,Valores!$C$32/2),2)</f>
        <v>23377.77</v>
      </c>
      <c r="AD39" s="113">
        <f>SUM(F39,H39,J39,L39,M39,N39,O39,P39,Q39,S39,T39,U39,W39,X39,Z39,AB39,AC39)*Valores!$C$58</f>
        <v>114561.02500000002</v>
      </c>
      <c r="AE39" s="113">
        <f t="shared" si="5"/>
        <v>1260171.2750000004</v>
      </c>
      <c r="AF39" s="113">
        <f>Valores!$C$12</f>
        <v>72856</v>
      </c>
      <c r="AG39" s="113">
        <f>Valores!$C$59</f>
        <v>25000</v>
      </c>
      <c r="AH39" s="113">
        <f t="shared" si="1"/>
        <v>97856</v>
      </c>
      <c r="AI39" s="113">
        <f>AE39*Valores!$C$39</f>
        <v>-138618.84025000004</v>
      </c>
      <c r="AJ39" s="113">
        <f>IF(AE39&lt;Valores!$E$40,-0.02,IF(AE39&lt;Valores!$F$40,-0.03,-0.04))*AE39</f>
        <v>-50406.851000000017</v>
      </c>
      <c r="AK39" s="113">
        <f>AE39*Valores!$C$42</f>
        <v>-69309.420125000019</v>
      </c>
      <c r="AL39" s="113">
        <f>Valores!$C$56</f>
        <v>-1270.1600000000001</v>
      </c>
      <c r="AM39" s="113">
        <f>IF($F$5=0,Valores!$C$57,(Valores!$C$57+$F$5*(Valores!$C$57)))</f>
        <v>-7026</v>
      </c>
      <c r="AN39" s="113">
        <f t="shared" si="6"/>
        <v>1091396.0036250004</v>
      </c>
      <c r="AO39" s="113">
        <f t="shared" si="0"/>
        <v>-138618.84025000004</v>
      </c>
      <c r="AP39" s="113">
        <f t="shared" si="7"/>
        <v>-50406.851000000017</v>
      </c>
      <c r="AQ39" s="113">
        <f>AE39*Valores!$C$43</f>
        <v>-34024.624425000009</v>
      </c>
      <c r="AR39" s="113">
        <f>AE39*Valores!$C$44</f>
        <v>-3780.5138250000014</v>
      </c>
      <c r="AS39" s="113">
        <f t="shared" si="2"/>
        <v>1131196.4455000004</v>
      </c>
      <c r="AT39" s="113">
        <f>AE39*Valores!$C$46</f>
        <v>201627.40400000007</v>
      </c>
      <c r="AU39" s="113">
        <f>AE39*Valores!$C$47</f>
        <v>88211.989250000028</v>
      </c>
      <c r="AV39" s="113">
        <f>AE39*Valores!$C$48</f>
        <v>12601.712750000004</v>
      </c>
      <c r="AW39" s="113">
        <f>AE39*Valores!$C$50</f>
        <v>44105.994625000014</v>
      </c>
      <c r="AX39" s="113">
        <f>AE39*Valores!$C$52</f>
        <v>68049.248850000018</v>
      </c>
      <c r="AY39" s="113">
        <f>AE39*Valores!$C$51</f>
        <v>7561.0276500000027</v>
      </c>
      <c r="AZ39" s="114"/>
      <c r="BA39" s="114">
        <v>45</v>
      </c>
      <c r="BB39" s="111" t="s">
        <v>4</v>
      </c>
    </row>
    <row r="40" spans="1:54" s="100" customFormat="1" ht="11.25" customHeight="1" x14ac:dyDescent="0.15">
      <c r="A40" s="111" t="s">
        <v>136</v>
      </c>
      <c r="B40" s="111">
        <v>1</v>
      </c>
      <c r="C40" s="114">
        <v>33</v>
      </c>
      <c r="D40" s="112" t="s">
        <v>137</v>
      </c>
      <c r="E40" s="169">
        <v>85</v>
      </c>
      <c r="F40" s="113">
        <f>ROUND(E40*Valores!$C$2,2)</f>
        <v>8313.51</v>
      </c>
      <c r="G40" s="169">
        <v>3498</v>
      </c>
      <c r="H40" s="113">
        <f>ROUND(G40*Valores!$C$2,2)</f>
        <v>342125.39</v>
      </c>
      <c r="I40" s="169">
        <v>1209</v>
      </c>
      <c r="J40" s="113">
        <f>ROUND(I40*Valores!$C$2,2)</f>
        <v>118247.45</v>
      </c>
      <c r="K40" s="169">
        <v>0</v>
      </c>
      <c r="L40" s="113">
        <f>ROUND(K40*Valores!$C$2,2)</f>
        <v>0</v>
      </c>
      <c r="M40" s="113">
        <f>ROUND(IF($H$2=0,IF(AND(A40&lt;&gt;"13-930",A40&lt;&gt;"13-940"),(SUM(F40,H40,J40,L40,W40,S40,Q40)*Valores!$C$4),0),0),2)</f>
        <v>141868.22</v>
      </c>
      <c r="N40" s="113">
        <f t="shared" si="3"/>
        <v>0</v>
      </c>
      <c r="O40" s="113">
        <f>Valores!C$90</f>
        <v>362892.97</v>
      </c>
      <c r="P40" s="113">
        <f>Valores!$D$5</f>
        <v>49998.43</v>
      </c>
      <c r="Q40" s="113">
        <f>IF($F$4="NO",Valores!$C$26,Valores!$C$26/2)</f>
        <v>52265.18</v>
      </c>
      <c r="R40" s="113">
        <f>Valores!$C$8</f>
        <v>46521.33</v>
      </c>
      <c r="S40" s="113">
        <f t="shared" si="8"/>
        <v>46521.33</v>
      </c>
      <c r="T40" s="113">
        <v>0</v>
      </c>
      <c r="U40" s="113">
        <v>0</v>
      </c>
      <c r="V40" s="169">
        <v>0</v>
      </c>
      <c r="W40" s="113">
        <f>ROUND(V40*Valores!$C$2,2)</f>
        <v>0</v>
      </c>
      <c r="X40" s="113">
        <v>0</v>
      </c>
      <c r="Y40" s="188">
        <v>0</v>
      </c>
      <c r="Z40" s="113">
        <f t="shared" si="4"/>
        <v>0</v>
      </c>
      <c r="AA40" s="169">
        <v>0</v>
      </c>
      <c r="AB40" s="113">
        <f>ROUND(AA40*Valores!$C$2,2)</f>
        <v>0</v>
      </c>
      <c r="AC40" s="113">
        <f>ROUND(IF($F$4="NO",Valores!$C$32,Valores!$C$32/2),2)</f>
        <v>23377.77</v>
      </c>
      <c r="AD40" s="113">
        <f>SUM(F40,H40,J40,L40,M40,N40,O40,P40,Q40,S40,T40,U40,W40,X40,Z40,AB40,AC40)*Valores!$C$58</f>
        <v>114561.02500000002</v>
      </c>
      <c r="AE40" s="113">
        <f t="shared" si="5"/>
        <v>1260171.2750000004</v>
      </c>
      <c r="AF40" s="113">
        <f>Valores!$C$12</f>
        <v>72856</v>
      </c>
      <c r="AG40" s="113">
        <f>Valores!$C$59</f>
        <v>25000</v>
      </c>
      <c r="AH40" s="113">
        <f t="shared" si="1"/>
        <v>97856</v>
      </c>
      <c r="AI40" s="113">
        <f>AE40*Valores!$C$39</f>
        <v>-138618.84025000004</v>
      </c>
      <c r="AJ40" s="113">
        <f>IF(AE40&lt;Valores!$E$40,-0.02,IF(AE40&lt;Valores!$F$40,-0.03,-0.04))*AE40</f>
        <v>-50406.851000000017</v>
      </c>
      <c r="AK40" s="113">
        <f>AE40*Valores!$C$42</f>
        <v>-69309.420125000019</v>
      </c>
      <c r="AL40" s="113">
        <f>Valores!$C$56</f>
        <v>-1270.1600000000001</v>
      </c>
      <c r="AM40" s="113">
        <f>IF($F$5=0,Valores!$C$57,(Valores!$C$57+$F$5*(Valores!$C$57)))</f>
        <v>-7026</v>
      </c>
      <c r="AN40" s="113">
        <f t="shared" si="6"/>
        <v>1091396.0036250004</v>
      </c>
      <c r="AO40" s="113">
        <f t="shared" si="0"/>
        <v>-138618.84025000004</v>
      </c>
      <c r="AP40" s="113">
        <f t="shared" si="7"/>
        <v>-50406.851000000017</v>
      </c>
      <c r="AQ40" s="113">
        <f>AE40*Valores!$C$43</f>
        <v>-34024.624425000009</v>
      </c>
      <c r="AR40" s="113">
        <f>AE40*Valores!$C$44</f>
        <v>-3780.5138250000014</v>
      </c>
      <c r="AS40" s="113">
        <f t="shared" si="2"/>
        <v>1131196.4455000004</v>
      </c>
      <c r="AT40" s="113">
        <f>AE40*Valores!$C$46</f>
        <v>201627.40400000007</v>
      </c>
      <c r="AU40" s="113">
        <f>AE40*Valores!$C$47</f>
        <v>88211.989250000028</v>
      </c>
      <c r="AV40" s="113">
        <f>AE40*Valores!$C$48</f>
        <v>12601.712750000004</v>
      </c>
      <c r="AW40" s="113">
        <f>AE40*Valores!$C$50</f>
        <v>44105.994625000014</v>
      </c>
      <c r="AX40" s="113">
        <f>AE40*Valores!$C$52</f>
        <v>68049.248850000018</v>
      </c>
      <c r="AY40" s="113">
        <f>AE40*Valores!$C$51</f>
        <v>7561.0276500000027</v>
      </c>
      <c r="AZ40" s="114"/>
      <c r="BA40" s="114">
        <v>45</v>
      </c>
      <c r="BB40" s="111" t="s">
        <v>8</v>
      </c>
    </row>
    <row r="41" spans="1:54" s="100" customFormat="1" ht="11.25" customHeight="1" x14ac:dyDescent="0.15">
      <c r="A41" s="111" t="s">
        <v>138</v>
      </c>
      <c r="B41" s="111">
        <v>1</v>
      </c>
      <c r="C41" s="114">
        <v>34</v>
      </c>
      <c r="D41" s="112" t="s">
        <v>139</v>
      </c>
      <c r="E41" s="169">
        <v>101</v>
      </c>
      <c r="F41" s="113">
        <f>ROUND(E41*Valores!$C$2,2)</f>
        <v>9878.41</v>
      </c>
      <c r="G41" s="169">
        <v>2548</v>
      </c>
      <c r="H41" s="113">
        <f>ROUND(G41*Valores!$C$2,2)</f>
        <v>249209.69</v>
      </c>
      <c r="I41" s="169">
        <v>216</v>
      </c>
      <c r="J41" s="113">
        <f>ROUND(I41*Valores!$C$2,2)</f>
        <v>21126.1</v>
      </c>
      <c r="K41" s="169">
        <v>0</v>
      </c>
      <c r="L41" s="113">
        <f>ROUND(K41*Valores!$C$2,2)</f>
        <v>0</v>
      </c>
      <c r="M41" s="113">
        <f>ROUND(IF($H$2=0,IF(AND(A41&lt;&gt;"13-930",A41&lt;&gt;"13-940"),(SUM(F41,H41,J41,L41,W41,S41,Q41)*Valores!$C$4),0),0),2)</f>
        <v>92323.05</v>
      </c>
      <c r="N41" s="113">
        <f t="shared" si="3"/>
        <v>0</v>
      </c>
      <c r="O41" s="113">
        <f>Valores!C$72</f>
        <v>195448.73</v>
      </c>
      <c r="P41" s="113">
        <f>Valores!$D$5</f>
        <v>49998.43</v>
      </c>
      <c r="Q41" s="113">
        <f>IF($F$4="NO",Valores!$C$25,Valores!$C$25/2)</f>
        <v>42556.65</v>
      </c>
      <c r="R41" s="113">
        <f>Valores!$C$8</f>
        <v>46521.33</v>
      </c>
      <c r="S41" s="113">
        <f t="shared" si="8"/>
        <v>46521.33</v>
      </c>
      <c r="T41" s="113">
        <v>0</v>
      </c>
      <c r="U41" s="113">
        <v>0</v>
      </c>
      <c r="V41" s="169">
        <v>0</v>
      </c>
      <c r="W41" s="113">
        <f>ROUND(V41*Valores!$C$2,2)</f>
        <v>0</v>
      </c>
      <c r="X41" s="113">
        <v>0</v>
      </c>
      <c r="Y41" s="188">
        <v>0</v>
      </c>
      <c r="Z41" s="113">
        <f t="shared" si="4"/>
        <v>0</v>
      </c>
      <c r="AA41" s="169">
        <v>0</v>
      </c>
      <c r="AB41" s="113">
        <f>ROUND(AA41*Valores!$C$2,2)</f>
        <v>0</v>
      </c>
      <c r="AC41" s="113">
        <f>ROUND(IF($F$4="NO",Valores!$C$32,Valores!$C$32/2),2)</f>
        <v>23377.77</v>
      </c>
      <c r="AD41" s="113">
        <f>SUM(F41,H41,J41,L41,M41,N41,O41,P41,Q41,S41,T41,U41,W41,X41,Z41,AB41,AC41)*Valores!$C$58</f>
        <v>73044.016000000003</v>
      </c>
      <c r="AE41" s="113">
        <f t="shared" si="5"/>
        <v>803484.17599999998</v>
      </c>
      <c r="AF41" s="113">
        <f>Valores!$C$12</f>
        <v>72856</v>
      </c>
      <c r="AG41" s="113">
        <f>Valores!$C$59</f>
        <v>25000</v>
      </c>
      <c r="AH41" s="113">
        <f t="shared" si="1"/>
        <v>97856</v>
      </c>
      <c r="AI41" s="113">
        <f>AE41*Valores!$C$39</f>
        <v>-88383.259359999996</v>
      </c>
      <c r="AJ41" s="113">
        <f>IF(AE41&lt;Valores!$E$40,-0.02,IF(AE41&lt;Valores!$F$40,-0.03,-0.04))*AE41</f>
        <v>-24104.525279999998</v>
      </c>
      <c r="AK41" s="113">
        <f>AE41*Valores!$C$42</f>
        <v>-44191.629679999998</v>
      </c>
      <c r="AL41" s="113">
        <f>Valores!$C$56</f>
        <v>-1270.1600000000001</v>
      </c>
      <c r="AM41" s="113">
        <f>IF($F$5=0,Valores!$C$57,(Valores!$C$57+$F$5*(Valores!$C$57)))</f>
        <v>-7026</v>
      </c>
      <c r="AN41" s="113">
        <f t="shared" si="6"/>
        <v>736364.60167999996</v>
      </c>
      <c r="AO41" s="113">
        <f t="shared" si="0"/>
        <v>-88383.259359999996</v>
      </c>
      <c r="AP41" s="113">
        <f t="shared" si="7"/>
        <v>-24104.525279999998</v>
      </c>
      <c r="AQ41" s="113">
        <f>AE41*Valores!$C$43</f>
        <v>-21694.072752</v>
      </c>
      <c r="AR41" s="113">
        <f>AE41*Valores!$C$44</f>
        <v>-2410.4525279999998</v>
      </c>
      <c r="AS41" s="113">
        <f t="shared" si="2"/>
        <v>764747.86607999995</v>
      </c>
      <c r="AT41" s="113">
        <f>AE41*Valores!$C$46</f>
        <v>128557.46816</v>
      </c>
      <c r="AU41" s="113">
        <f>AE41*Valores!$C$47</f>
        <v>56243.892320000006</v>
      </c>
      <c r="AV41" s="113">
        <f>AE41*Valores!$C$48</f>
        <v>8034.8417600000002</v>
      </c>
      <c r="AW41" s="113">
        <f>AE41*Valores!$C$50</f>
        <v>28121.946160000003</v>
      </c>
      <c r="AX41" s="113">
        <f>AE41*Valores!$C$52</f>
        <v>43388.145504</v>
      </c>
      <c r="AY41" s="113">
        <f>AE41*Valores!$C$51</f>
        <v>4820.9050559999996</v>
      </c>
      <c r="AZ41" s="114"/>
      <c r="BA41" s="114">
        <v>45</v>
      </c>
      <c r="BB41" s="111" t="s">
        <v>8</v>
      </c>
    </row>
    <row r="42" spans="1:54" s="100" customFormat="1" ht="11.25" customHeight="1" x14ac:dyDescent="0.15">
      <c r="A42" s="111" t="s">
        <v>140</v>
      </c>
      <c r="B42" s="111">
        <v>1</v>
      </c>
      <c r="C42" s="114">
        <v>35</v>
      </c>
      <c r="D42" s="112" t="s">
        <v>139</v>
      </c>
      <c r="E42" s="169">
        <v>101</v>
      </c>
      <c r="F42" s="113">
        <f>ROUND(E42*Valores!$C$2,2)</f>
        <v>9878.41</v>
      </c>
      <c r="G42" s="169">
        <v>2548</v>
      </c>
      <c r="H42" s="113">
        <f>ROUND(G42*Valores!$C$2,2)</f>
        <v>249209.69</v>
      </c>
      <c r="I42" s="169">
        <v>216</v>
      </c>
      <c r="J42" s="113">
        <f>ROUND(I42*Valores!$C$2,2)</f>
        <v>21126.1</v>
      </c>
      <c r="K42" s="169">
        <v>0</v>
      </c>
      <c r="L42" s="113">
        <f>ROUND(K42*Valores!$C$2,2)</f>
        <v>0</v>
      </c>
      <c r="M42" s="113">
        <f>ROUND(IF($H$2=0,IF(AND(A42&lt;&gt;"13-930",A42&lt;&gt;"13-940"),(SUM(F42,H42,J42,L42,W42,S42,Q42)*Valores!$C$4),0),0),2)</f>
        <v>92323.05</v>
      </c>
      <c r="N42" s="113">
        <f t="shared" si="3"/>
        <v>0</v>
      </c>
      <c r="O42" s="113">
        <f>Valores!C$72</f>
        <v>195448.73</v>
      </c>
      <c r="P42" s="113">
        <f>Valores!$D$5</f>
        <v>49998.43</v>
      </c>
      <c r="Q42" s="113">
        <f>IF($F$4="NO",Valores!$C$25,Valores!$C$25/2)</f>
        <v>42556.65</v>
      </c>
      <c r="R42" s="113">
        <f>Valores!$C$8</f>
        <v>46521.33</v>
      </c>
      <c r="S42" s="113">
        <f t="shared" si="8"/>
        <v>46521.33</v>
      </c>
      <c r="T42" s="113">
        <v>0</v>
      </c>
      <c r="U42" s="113">
        <v>0</v>
      </c>
      <c r="V42" s="169">
        <v>0</v>
      </c>
      <c r="W42" s="113">
        <f>ROUND(V42*Valores!$C$2,2)</f>
        <v>0</v>
      </c>
      <c r="X42" s="113">
        <v>0</v>
      </c>
      <c r="Y42" s="188">
        <v>0</v>
      </c>
      <c r="Z42" s="113">
        <f t="shared" si="4"/>
        <v>0</v>
      </c>
      <c r="AA42" s="169">
        <v>0</v>
      </c>
      <c r="AB42" s="113">
        <f>ROUND(AA42*Valores!$C$2,2)</f>
        <v>0</v>
      </c>
      <c r="AC42" s="113">
        <f>ROUND(IF($F$4="NO",Valores!$C$32,Valores!$C$32/2),2)</f>
        <v>23377.77</v>
      </c>
      <c r="AD42" s="113">
        <f>SUM(F42,H42,J42,L42,M42,N42,O42,P42,Q42,S42,T42,U42,W42,X42,Z42,AB42,AC42)*Valores!$C$58</f>
        <v>73044.016000000003</v>
      </c>
      <c r="AE42" s="113">
        <f t="shared" si="5"/>
        <v>803484.17599999998</v>
      </c>
      <c r="AF42" s="113">
        <f>Valores!$C$12</f>
        <v>72856</v>
      </c>
      <c r="AG42" s="113">
        <f>Valores!$C$59</f>
        <v>25000</v>
      </c>
      <c r="AH42" s="113">
        <f t="shared" si="1"/>
        <v>97856</v>
      </c>
      <c r="AI42" s="113">
        <f>AE42*Valores!$C$39</f>
        <v>-88383.259359999996</v>
      </c>
      <c r="AJ42" s="113">
        <f>IF(AE42&lt;Valores!$E$40,-0.02,IF(AE42&lt;Valores!$F$40,-0.03,-0.04))*AE42</f>
        <v>-24104.525279999998</v>
      </c>
      <c r="AK42" s="113">
        <f>AE42*Valores!$C$42</f>
        <v>-44191.629679999998</v>
      </c>
      <c r="AL42" s="113">
        <f>Valores!$C$56</f>
        <v>-1270.1600000000001</v>
      </c>
      <c r="AM42" s="113">
        <f>IF($F$5=0,Valores!$C$57,(Valores!$C$57+$F$5*(Valores!$C$57)))</f>
        <v>-7026</v>
      </c>
      <c r="AN42" s="113">
        <f t="shared" si="6"/>
        <v>736364.60167999996</v>
      </c>
      <c r="AO42" s="113">
        <f t="shared" si="0"/>
        <v>-88383.259359999996</v>
      </c>
      <c r="AP42" s="113">
        <f t="shared" si="7"/>
        <v>-24104.525279999998</v>
      </c>
      <c r="AQ42" s="113">
        <f>AE42*Valores!$C$43</f>
        <v>-21694.072752</v>
      </c>
      <c r="AR42" s="113">
        <f>AE42*Valores!$C$44</f>
        <v>-2410.4525279999998</v>
      </c>
      <c r="AS42" s="113">
        <f t="shared" si="2"/>
        <v>764747.86607999995</v>
      </c>
      <c r="AT42" s="113">
        <f>AE42*Valores!$C$46</f>
        <v>128557.46816</v>
      </c>
      <c r="AU42" s="113">
        <f>AE42*Valores!$C$47</f>
        <v>56243.892320000006</v>
      </c>
      <c r="AV42" s="113">
        <f>AE42*Valores!$C$48</f>
        <v>8034.8417600000002</v>
      </c>
      <c r="AW42" s="113">
        <f>AE42*Valores!$C$50</f>
        <v>28121.946160000003</v>
      </c>
      <c r="AX42" s="113">
        <f>AE42*Valores!$C$52</f>
        <v>43388.145504</v>
      </c>
      <c r="AY42" s="113">
        <f>AE42*Valores!$C$51</f>
        <v>4820.9050559999996</v>
      </c>
      <c r="AZ42" s="114"/>
      <c r="BA42" s="114">
        <v>45</v>
      </c>
      <c r="BB42" s="111" t="s">
        <v>8</v>
      </c>
    </row>
    <row r="43" spans="1:54" s="100" customFormat="1" ht="11.25" customHeight="1" x14ac:dyDescent="0.15">
      <c r="A43" s="111" t="s">
        <v>141</v>
      </c>
      <c r="B43" s="111">
        <v>1</v>
      </c>
      <c r="C43" s="114">
        <v>36</v>
      </c>
      <c r="D43" s="112" t="s">
        <v>142</v>
      </c>
      <c r="E43" s="169">
        <v>96</v>
      </c>
      <c r="F43" s="113">
        <f>ROUND(E43*Valores!$C$2,2)</f>
        <v>9389.3799999999992</v>
      </c>
      <c r="G43" s="169">
        <v>2475</v>
      </c>
      <c r="H43" s="113">
        <f>ROUND(G43*Valores!$C$2,2)</f>
        <v>242069.85</v>
      </c>
      <c r="I43" s="169">
        <v>213</v>
      </c>
      <c r="J43" s="113">
        <f>ROUND(I43*Valores!$C$2,2)</f>
        <v>20832.68</v>
      </c>
      <c r="K43" s="169">
        <v>0</v>
      </c>
      <c r="L43" s="113">
        <f>ROUND(K43*Valores!$C$2,2)</f>
        <v>0</v>
      </c>
      <c r="M43" s="113">
        <f>ROUND(IF($H$2=0,IF(AND(A43&lt;&gt;"13-930",A43&lt;&gt;"13-940"),(SUM(F43,H43,J43,L43,W43,S43,Q43)*Valores!$C$4),0),0),2)</f>
        <v>88386.11</v>
      </c>
      <c r="N43" s="113">
        <f t="shared" si="3"/>
        <v>0</v>
      </c>
      <c r="O43" s="113">
        <f>Valores!C$72</f>
        <v>195448.73</v>
      </c>
      <c r="P43" s="113">
        <f>Valores!$D$5</f>
        <v>49998.43</v>
      </c>
      <c r="Q43" s="113">
        <f>IF($F$4="NO",Valores!$C$23,Valores!$C$23/2)</f>
        <v>34731.18</v>
      </c>
      <c r="R43" s="113">
        <f>Valores!$C$8</f>
        <v>46521.33</v>
      </c>
      <c r="S43" s="113">
        <f t="shared" si="8"/>
        <v>46521.33</v>
      </c>
      <c r="T43" s="113">
        <v>0</v>
      </c>
      <c r="U43" s="113">
        <v>0</v>
      </c>
      <c r="V43" s="169">
        <v>0</v>
      </c>
      <c r="W43" s="113">
        <f>ROUND(V43*Valores!$C$2,2)</f>
        <v>0</v>
      </c>
      <c r="X43" s="113">
        <v>0</v>
      </c>
      <c r="Y43" s="188">
        <v>0</v>
      </c>
      <c r="Z43" s="113">
        <f t="shared" si="4"/>
        <v>0</v>
      </c>
      <c r="AA43" s="169">
        <v>0</v>
      </c>
      <c r="AB43" s="113">
        <f>ROUND(AA43*Valores!$C$2,2)</f>
        <v>0</v>
      </c>
      <c r="AC43" s="113">
        <f>ROUND(IF($F$4="NO",Valores!$C$32,Valores!$C$32/2),2)</f>
        <v>23377.77</v>
      </c>
      <c r="AD43" s="113">
        <f>SUM(F43,H43,J43,L43,M43,N43,O43,P43,Q43,S43,T43,U43,W43,X43,Z43,AB43,AC43)*Valores!$C$58</f>
        <v>71075.546000000017</v>
      </c>
      <c r="AE43" s="113">
        <f t="shared" si="5"/>
        <v>781831.00600000005</v>
      </c>
      <c r="AF43" s="113">
        <f>Valores!$C$11</f>
        <v>36428</v>
      </c>
      <c r="AG43" s="113">
        <f>Valores!$C$59</f>
        <v>25000</v>
      </c>
      <c r="AH43" s="113">
        <f t="shared" si="1"/>
        <v>61428</v>
      </c>
      <c r="AI43" s="113">
        <f>AE43*Valores!$C$39</f>
        <v>-86001.410660000009</v>
      </c>
      <c r="AJ43" s="113">
        <f>IF(AE43&lt;Valores!$E$40,-0.02,IF(AE43&lt;Valores!$F$40,-0.03,-0.04))*AE43</f>
        <v>-23454.930179999999</v>
      </c>
      <c r="AK43" s="113">
        <f>AE43*Valores!$C$42</f>
        <v>-43000.705330000004</v>
      </c>
      <c r="AL43" s="113">
        <f>Valores!$C$56</f>
        <v>-1270.1600000000001</v>
      </c>
      <c r="AM43" s="113">
        <f>IF($F$5=0,Valores!$C$57,(Valores!$C$57+$F$5*(Valores!$C$57)))</f>
        <v>-7026</v>
      </c>
      <c r="AN43" s="113">
        <f t="shared" si="6"/>
        <v>682505.79983000003</v>
      </c>
      <c r="AO43" s="113">
        <f t="shared" si="0"/>
        <v>-86001.410660000009</v>
      </c>
      <c r="AP43" s="113">
        <f t="shared" si="7"/>
        <v>-23454.930179999999</v>
      </c>
      <c r="AQ43" s="113">
        <f>AE43*Valores!$C$43</f>
        <v>-21109.437162000002</v>
      </c>
      <c r="AR43" s="113">
        <f>AE43*Valores!$C$44</f>
        <v>-2345.4930180000001</v>
      </c>
      <c r="AS43" s="113">
        <f t="shared" si="2"/>
        <v>710347.73498000007</v>
      </c>
      <c r="AT43" s="113">
        <f>AE43*Valores!$C$46</f>
        <v>125092.96096000001</v>
      </c>
      <c r="AU43" s="113">
        <f>AE43*Valores!$C$47</f>
        <v>54728.170420000009</v>
      </c>
      <c r="AV43" s="113">
        <f>AE43*Valores!$C$48</f>
        <v>7818.3100600000007</v>
      </c>
      <c r="AW43" s="113">
        <f>AE43*Valores!$C$50</f>
        <v>27364.085210000005</v>
      </c>
      <c r="AX43" s="113">
        <f>AE43*Valores!$C$52</f>
        <v>42218.874324000004</v>
      </c>
      <c r="AY43" s="113">
        <f>AE43*Valores!$C$51</f>
        <v>4690.9860360000002</v>
      </c>
      <c r="AZ43" s="114"/>
      <c r="BA43" s="114">
        <v>45</v>
      </c>
      <c r="BB43" s="111" t="s">
        <v>4</v>
      </c>
    </row>
    <row r="44" spans="1:54" s="100" customFormat="1" ht="11.25" customHeight="1" x14ac:dyDescent="0.15">
      <c r="A44" s="111" t="s">
        <v>143</v>
      </c>
      <c r="B44" s="111">
        <v>1</v>
      </c>
      <c r="C44" s="114">
        <v>37</v>
      </c>
      <c r="D44" s="112" t="s">
        <v>144</v>
      </c>
      <c r="E44" s="169">
        <v>72</v>
      </c>
      <c r="F44" s="113">
        <f>ROUND(E44*Valores!$C$2,2)</f>
        <v>7042.03</v>
      </c>
      <c r="G44" s="169">
        <v>2471</v>
      </c>
      <c r="H44" s="113">
        <f>ROUND(G44*Valores!$C$2,2)</f>
        <v>241678.63</v>
      </c>
      <c r="I44" s="169">
        <v>199</v>
      </c>
      <c r="J44" s="113">
        <f>ROUND(I44*Valores!$C$2,2)</f>
        <v>19463.39</v>
      </c>
      <c r="K44" s="169">
        <v>0</v>
      </c>
      <c r="L44" s="113">
        <f>ROUND(K44*Valores!$C$2,2)</f>
        <v>0</v>
      </c>
      <c r="M44" s="113">
        <f>ROUND(IF($H$2=0,IF(AND(A44&lt;&gt;"13-930",A44&lt;&gt;"13-940"),(SUM(F44,H44,J44,L44,W44,S44,Q44)*Valores!$C$4),0),0),2)</f>
        <v>87359.14</v>
      </c>
      <c r="N44" s="113">
        <f t="shared" si="3"/>
        <v>0</v>
      </c>
      <c r="O44" s="113">
        <f>Valores!C$72</f>
        <v>195448.73</v>
      </c>
      <c r="P44" s="113">
        <f>Valores!$D$5</f>
        <v>49998.43</v>
      </c>
      <c r="Q44" s="113">
        <f>IF($F$4="NO",Valores!$C$23,Valores!$C$23/2)</f>
        <v>34731.18</v>
      </c>
      <c r="R44" s="113">
        <f>Valores!$C$8</f>
        <v>46521.33</v>
      </c>
      <c r="S44" s="113">
        <f t="shared" si="8"/>
        <v>46521.33</v>
      </c>
      <c r="T44" s="113">
        <v>0</v>
      </c>
      <c r="U44" s="113">
        <v>0</v>
      </c>
      <c r="V44" s="169">
        <v>0</v>
      </c>
      <c r="W44" s="113">
        <f>ROUND(V44*Valores!$C$2,2)</f>
        <v>0</v>
      </c>
      <c r="X44" s="113">
        <v>0</v>
      </c>
      <c r="Y44" s="188">
        <v>0</v>
      </c>
      <c r="Z44" s="113">
        <f t="shared" si="4"/>
        <v>0</v>
      </c>
      <c r="AA44" s="169">
        <v>0</v>
      </c>
      <c r="AB44" s="113">
        <f>ROUND(AA44*Valores!$C$2,2)</f>
        <v>0</v>
      </c>
      <c r="AC44" s="113">
        <f>ROUND(IF($F$4="NO",Valores!$C$32,Valores!$C$32/2),2)</f>
        <v>23377.77</v>
      </c>
      <c r="AD44" s="113">
        <f>SUM(F44,H44,J44,L44,M44,N44,O44,P44,Q44,S44,T44,U44,W44,X44,Z44,AB44,AC44)*Valores!$C$58</f>
        <v>70562.063000000009</v>
      </c>
      <c r="AE44" s="113">
        <f t="shared" si="5"/>
        <v>776182.69300000009</v>
      </c>
      <c r="AF44" s="113">
        <f>Valores!$C$11</f>
        <v>36428</v>
      </c>
      <c r="AG44" s="113">
        <f>Valores!$C$59</f>
        <v>25000</v>
      </c>
      <c r="AH44" s="113">
        <f t="shared" si="1"/>
        <v>61428</v>
      </c>
      <c r="AI44" s="113">
        <f>AE44*Valores!$C$39</f>
        <v>-85380.09623000001</v>
      </c>
      <c r="AJ44" s="113">
        <f>IF(AE44&lt;Valores!$E$40,-0.02,IF(AE44&lt;Valores!$F$40,-0.03,-0.04))*AE44</f>
        <v>-23285.480790000001</v>
      </c>
      <c r="AK44" s="113">
        <f>AE44*Valores!$C$42</f>
        <v>-42690.048115000005</v>
      </c>
      <c r="AL44" s="113">
        <f>Valores!$C$56</f>
        <v>-1270.1600000000001</v>
      </c>
      <c r="AM44" s="113">
        <f>IF($F$5=0,Valores!$C$57,(Valores!$C$57+$F$5*(Valores!$C$57)))</f>
        <v>-7026</v>
      </c>
      <c r="AN44" s="113">
        <f t="shared" si="6"/>
        <v>677958.90786500007</v>
      </c>
      <c r="AO44" s="113">
        <f t="shared" si="0"/>
        <v>-85380.09623000001</v>
      </c>
      <c r="AP44" s="113">
        <f t="shared" si="7"/>
        <v>-23285.480790000001</v>
      </c>
      <c r="AQ44" s="113">
        <f>AE44*Valores!$C$43</f>
        <v>-20956.932711000001</v>
      </c>
      <c r="AR44" s="113">
        <f>AE44*Valores!$C$44</f>
        <v>-2328.5480790000001</v>
      </c>
      <c r="AS44" s="113">
        <f t="shared" si="2"/>
        <v>705659.63519000006</v>
      </c>
      <c r="AT44" s="113">
        <f>AE44*Valores!$C$46</f>
        <v>124189.23088000002</v>
      </c>
      <c r="AU44" s="113">
        <f>AE44*Valores!$C$47</f>
        <v>54332.788510000013</v>
      </c>
      <c r="AV44" s="113">
        <f>AE44*Valores!$C$48</f>
        <v>7761.8269300000011</v>
      </c>
      <c r="AW44" s="113">
        <f>AE44*Valores!$C$50</f>
        <v>27166.394255000007</v>
      </c>
      <c r="AX44" s="113">
        <f>AE44*Valores!$C$52</f>
        <v>41913.865422000003</v>
      </c>
      <c r="AY44" s="113">
        <f>AE44*Valores!$C$51</f>
        <v>4657.0961580000003</v>
      </c>
      <c r="AZ44" s="114"/>
      <c r="BA44" s="114">
        <v>45</v>
      </c>
      <c r="BB44" s="111" t="s">
        <v>4</v>
      </c>
    </row>
    <row r="45" spans="1:54" s="100" customFormat="1" ht="11.25" customHeight="1" x14ac:dyDescent="0.15">
      <c r="A45" s="111" t="s">
        <v>145</v>
      </c>
      <c r="B45" s="111">
        <v>1</v>
      </c>
      <c r="C45" s="114">
        <v>38</v>
      </c>
      <c r="D45" s="112" t="s">
        <v>146</v>
      </c>
      <c r="E45" s="169">
        <v>85</v>
      </c>
      <c r="F45" s="113">
        <f>ROUND(E45*Valores!$C$2,2)</f>
        <v>8313.51</v>
      </c>
      <c r="G45" s="169">
        <f>G39</f>
        <v>3498</v>
      </c>
      <c r="H45" s="113">
        <f>ROUND(G45*Valores!$C$2,2)</f>
        <v>342125.39</v>
      </c>
      <c r="I45" s="169">
        <f>I39</f>
        <v>1209</v>
      </c>
      <c r="J45" s="113">
        <f>ROUND(I45*Valores!$C$2,2)</f>
        <v>118247.45</v>
      </c>
      <c r="K45" s="169">
        <v>0</v>
      </c>
      <c r="L45" s="113">
        <f>ROUND(K45*Valores!$C$2,2)</f>
        <v>0</v>
      </c>
      <c r="M45" s="113">
        <f>ROUND(IF($H$2=0,IF(AND(A45&lt;&gt;"13-930",A45&lt;&gt;"13-940"),(SUM(F45,H45,J45,L45,W45,S45,Q45)*Valores!$C$4),0),0),2)</f>
        <v>139441.07999999999</v>
      </c>
      <c r="N45" s="113">
        <f t="shared" si="3"/>
        <v>0</v>
      </c>
      <c r="O45" s="113">
        <f>O39</f>
        <v>362892.97</v>
      </c>
      <c r="P45" s="113">
        <f>Valores!$D$5</f>
        <v>49998.43</v>
      </c>
      <c r="Q45" s="113">
        <f>IF($F$4="NO",Valores!$C$25,Valores!$C$25/2)</f>
        <v>42556.65</v>
      </c>
      <c r="R45" s="113">
        <f>R39</f>
        <v>46521.33</v>
      </c>
      <c r="S45" s="113">
        <f t="shared" si="8"/>
        <v>46521.33</v>
      </c>
      <c r="T45" s="113">
        <v>0</v>
      </c>
      <c r="U45" s="113">
        <v>0</v>
      </c>
      <c r="V45" s="169">
        <v>0</v>
      </c>
      <c r="W45" s="113">
        <f>ROUND(V45*Valores!$C$2,2)</f>
        <v>0</v>
      </c>
      <c r="X45" s="113">
        <v>0</v>
      </c>
      <c r="Y45" s="188">
        <v>0</v>
      </c>
      <c r="Z45" s="113">
        <f t="shared" si="4"/>
        <v>0</v>
      </c>
      <c r="AA45" s="169">
        <v>0</v>
      </c>
      <c r="AB45" s="113">
        <f>ROUND(AA45*Valores!$C$2,2)</f>
        <v>0</v>
      </c>
      <c r="AC45" s="113">
        <f>ROUND(IF($F$4="NO",Valores!$C$32,Valores!$C$32/2),2)</f>
        <v>23377.77</v>
      </c>
      <c r="AD45" s="113">
        <f>SUM(F45,H45,J45,L45,M45,N45,O45,P45,Q45,S45,T45,U45,W45,X45,Z45,AB45,AC45)*Valores!$C$58</f>
        <v>113347.45800000001</v>
      </c>
      <c r="AE45" s="113">
        <f t="shared" si="5"/>
        <v>1246822.0380000002</v>
      </c>
      <c r="AF45" s="113">
        <f>AF39</f>
        <v>72856</v>
      </c>
      <c r="AG45" s="113">
        <f>Valores!$C$59</f>
        <v>25000</v>
      </c>
      <c r="AH45" s="113">
        <f t="shared" si="1"/>
        <v>97856</v>
      </c>
      <c r="AI45" s="113">
        <f>AE45*Valores!$C$39</f>
        <v>-137150.42418000003</v>
      </c>
      <c r="AJ45" s="113">
        <f>IF(AE45&lt;Valores!$E$40,-0.02,IF(AE45&lt;Valores!$F$40,-0.03,-0.04))*AE45</f>
        <v>-49872.88152000001</v>
      </c>
      <c r="AK45" s="113">
        <f>AE45*Valores!$C$42</f>
        <v>-68575.212090000015</v>
      </c>
      <c r="AL45" s="113">
        <f>Valores!$C$56</f>
        <v>-1270.1600000000001</v>
      </c>
      <c r="AM45" s="113">
        <f>IF($F$5=0,Valores!$C$57,(Valores!$C$57+$F$5*(Valores!$C$57)))</f>
        <v>-7026</v>
      </c>
      <c r="AN45" s="113">
        <f t="shared" si="6"/>
        <v>1080783.3602100001</v>
      </c>
      <c r="AO45" s="113">
        <f t="shared" si="0"/>
        <v>-137150.42418000003</v>
      </c>
      <c r="AP45" s="113">
        <f t="shared" si="7"/>
        <v>-49872.88152000001</v>
      </c>
      <c r="AQ45" s="113">
        <f>AE45*Valores!$C$43</f>
        <v>-33664.195026000001</v>
      </c>
      <c r="AR45" s="113">
        <f>AE45*Valores!$C$44</f>
        <v>-3740.4661140000007</v>
      </c>
      <c r="AS45" s="113">
        <f t="shared" si="2"/>
        <v>1120250.0711600001</v>
      </c>
      <c r="AT45" s="113">
        <f>AE45*Valores!$C$46</f>
        <v>199491.52608000004</v>
      </c>
      <c r="AU45" s="113">
        <f>AE45*Valores!$C$47</f>
        <v>87277.542660000021</v>
      </c>
      <c r="AV45" s="113">
        <f>AE45*Valores!$C$48</f>
        <v>12468.220380000002</v>
      </c>
      <c r="AW45" s="113">
        <f>AE45*Valores!$C$50</f>
        <v>43638.77133000001</v>
      </c>
      <c r="AX45" s="113">
        <f>AE45*Valores!$C$52</f>
        <v>67328.390052000002</v>
      </c>
      <c r="AY45" s="113">
        <f>AE45*Valores!$C$51</f>
        <v>7480.9322280000015</v>
      </c>
      <c r="AZ45" s="114"/>
      <c r="BA45" s="114">
        <v>45</v>
      </c>
      <c r="BB45" s="111" t="s">
        <v>4</v>
      </c>
    </row>
    <row r="46" spans="1:54" s="100" customFormat="1" ht="11.25" customHeight="1" x14ac:dyDescent="0.15">
      <c r="A46" s="111" t="s">
        <v>147</v>
      </c>
      <c r="B46" s="111">
        <v>1</v>
      </c>
      <c r="C46" s="114">
        <v>39</v>
      </c>
      <c r="D46" s="112" t="s">
        <v>148</v>
      </c>
      <c r="E46" s="169">
        <v>518</v>
      </c>
      <c r="F46" s="113">
        <f>ROUND(E46*Valores!$C$2,2)</f>
        <v>50663.51</v>
      </c>
      <c r="G46" s="169">
        <f>G88+G304</f>
        <v>1997</v>
      </c>
      <c r="H46" s="113">
        <f>ROUND(G46*Valores!$C$2,2)</f>
        <v>195318.58</v>
      </c>
      <c r="I46" s="169">
        <v>0</v>
      </c>
      <c r="J46" s="113">
        <f>ROUND(I46*Valores!$C$2,2)</f>
        <v>0</v>
      </c>
      <c r="K46" s="169">
        <v>0</v>
      </c>
      <c r="L46" s="113">
        <f>ROUND(K46*Valores!$C$2,2)</f>
        <v>0</v>
      </c>
      <c r="M46" s="113">
        <f>ROUND(IF($H$2=0,IF(AND(A46&lt;&gt;"13-930",A46&lt;&gt;"13-940"),(SUM(F46,H46,J46,L46,W46,S46,Q46)*Valores!$C$4),0),0),2)</f>
        <v>83992.45</v>
      </c>
      <c r="N46" s="113">
        <f t="shared" si="3"/>
        <v>0</v>
      </c>
      <c r="O46" s="113">
        <f>O88+O304</f>
        <v>258468.59</v>
      </c>
      <c r="P46" s="113">
        <f>Valores!$D$5</f>
        <v>49998.43</v>
      </c>
      <c r="Q46" s="113">
        <f>Q88+Q304</f>
        <v>43466.380000000005</v>
      </c>
      <c r="R46" s="113">
        <f>R88+R304</f>
        <v>46521.33</v>
      </c>
      <c r="S46" s="113">
        <f t="shared" si="8"/>
        <v>46521.33</v>
      </c>
      <c r="T46" s="113">
        <v>0</v>
      </c>
      <c r="U46" s="113">
        <v>0</v>
      </c>
      <c r="V46" s="169">
        <v>0</v>
      </c>
      <c r="W46" s="113">
        <f>ROUND(V46*Valores!$C$2,2)</f>
        <v>0</v>
      </c>
      <c r="X46" s="113">
        <v>0</v>
      </c>
      <c r="Y46" s="188">
        <v>0</v>
      </c>
      <c r="Z46" s="113">
        <f t="shared" si="4"/>
        <v>0</v>
      </c>
      <c r="AA46" s="169">
        <v>0</v>
      </c>
      <c r="AB46" s="113">
        <f>ROUND(AA46*Valores!$C$2,2)</f>
        <v>0</v>
      </c>
      <c r="AC46" s="113">
        <f>ROUND(IF($F$4="NO",Valores!$C$32,Valores!$C$32/2),2)</f>
        <v>23377.77</v>
      </c>
      <c r="AD46" s="113">
        <f>SUM(F46,H46,J46,L46,M46,N46,O46,P46,Q46,S46,T46,U46,W46,X46,Z46,AB46,AC46)*Valores!$C$58</f>
        <v>75180.704000000012</v>
      </c>
      <c r="AE46" s="113">
        <f t="shared" si="5"/>
        <v>826987.74400000006</v>
      </c>
      <c r="AF46" s="113">
        <f>AF88+AF304</f>
        <v>36428</v>
      </c>
      <c r="AG46" s="113">
        <f>Valores!$C$59</f>
        <v>25000</v>
      </c>
      <c r="AH46" s="113">
        <f t="shared" si="1"/>
        <v>61428</v>
      </c>
      <c r="AI46" s="113">
        <f>AE46*Valores!$C$39</f>
        <v>-90968.651840000006</v>
      </c>
      <c r="AJ46" s="113">
        <f>IF(AE46&lt;Valores!$E$40,-0.02,IF(AE46&lt;Valores!$F$40,-0.03,-0.04))*AE46</f>
        <v>-24809.632320000001</v>
      </c>
      <c r="AK46" s="113">
        <f>AE46*Valores!$C$42</f>
        <v>-45484.325920000003</v>
      </c>
      <c r="AL46" s="113">
        <f>Valores!$C$56</f>
        <v>-1270.1600000000001</v>
      </c>
      <c r="AM46" s="113">
        <f>IF($F$5=0,Valores!$C$57,(Valores!$C$57+$F$5*(Valores!$C$57)))</f>
        <v>-7026</v>
      </c>
      <c r="AN46" s="113">
        <f t="shared" si="6"/>
        <v>718856.97392000002</v>
      </c>
      <c r="AO46" s="113">
        <f t="shared" si="0"/>
        <v>-90968.651840000006</v>
      </c>
      <c r="AP46" s="113">
        <f t="shared" si="7"/>
        <v>-24809.632320000001</v>
      </c>
      <c r="AQ46" s="113">
        <f>AE46*Valores!$C$43</f>
        <v>-22328.669088000002</v>
      </c>
      <c r="AR46" s="113">
        <f>AE46*Valores!$C$44</f>
        <v>-2480.9632320000001</v>
      </c>
      <c r="AS46" s="113">
        <f t="shared" si="2"/>
        <v>747827.82752000005</v>
      </c>
      <c r="AT46" s="113">
        <f>AE46*Valores!$C$46</f>
        <v>132318.03904</v>
      </c>
      <c r="AU46" s="113">
        <f>AE46*Valores!$C$47</f>
        <v>57889.142080000012</v>
      </c>
      <c r="AV46" s="113">
        <f>AE46*Valores!$C$48</f>
        <v>8269.8774400000002</v>
      </c>
      <c r="AW46" s="113">
        <f>AE46*Valores!$C$50</f>
        <v>28944.571040000006</v>
      </c>
      <c r="AX46" s="113">
        <f>AE46*Valores!$C$52</f>
        <v>44657.338176000005</v>
      </c>
      <c r="AY46" s="113">
        <f>AE46*Valores!$C$51</f>
        <v>4961.9264640000001</v>
      </c>
      <c r="AZ46" s="114"/>
      <c r="BA46" s="114"/>
      <c r="BB46" s="111" t="s">
        <v>4</v>
      </c>
    </row>
    <row r="47" spans="1:54" s="100" customFormat="1" ht="11.25" customHeight="1" x14ac:dyDescent="0.15">
      <c r="A47" s="111" t="s">
        <v>149</v>
      </c>
      <c r="B47" s="111">
        <v>1</v>
      </c>
      <c r="C47" s="114">
        <v>40</v>
      </c>
      <c r="D47" s="112" t="s">
        <v>150</v>
      </c>
      <c r="E47" s="169">
        <v>572</v>
      </c>
      <c r="F47" s="113">
        <f>ROUND(E47*Valores!$C$2,2)</f>
        <v>55945.03</v>
      </c>
      <c r="G47" s="169">
        <f>G55+G237</f>
        <v>2686</v>
      </c>
      <c r="H47" s="113">
        <f>ROUND(G47*Valores!$C$2,2)</f>
        <v>262706.92</v>
      </c>
      <c r="I47" s="169">
        <v>0</v>
      </c>
      <c r="J47" s="113">
        <f>ROUND(I47*Valores!$C$2,2)</f>
        <v>0</v>
      </c>
      <c r="K47" s="169">
        <v>0</v>
      </c>
      <c r="L47" s="113">
        <f>ROUND(K47*Valores!$C$2,2)</f>
        <v>0</v>
      </c>
      <c r="M47" s="113">
        <f>ROUND(IF($H$2=0,IF(AND(A47&lt;&gt;"13-930",A47&lt;&gt;"13-940"),(SUM(F47,H47,J47,L47,W47,S47,Q47)*Valores!$C$4),0),0),2)</f>
        <v>104646.81</v>
      </c>
      <c r="N47" s="113">
        <f t="shared" si="3"/>
        <v>0</v>
      </c>
      <c r="O47" s="113">
        <f>O55+O237</f>
        <v>293653.02</v>
      </c>
      <c r="P47" s="113">
        <f>Valores!$D$5</f>
        <v>49998.43</v>
      </c>
      <c r="Q47" s="113">
        <f>Q55+Q237</f>
        <v>47155.119999999995</v>
      </c>
      <c r="R47" s="113">
        <f>R55+R237</f>
        <v>52780.17</v>
      </c>
      <c r="S47" s="113">
        <f t="shared" si="8"/>
        <v>52780.17</v>
      </c>
      <c r="T47" s="113">
        <v>0</v>
      </c>
      <c r="U47" s="113">
        <v>0</v>
      </c>
      <c r="V47" s="169">
        <v>0</v>
      </c>
      <c r="W47" s="113">
        <f>ROUND(V47*Valores!$C$2,2)</f>
        <v>0</v>
      </c>
      <c r="X47" s="113">
        <v>0</v>
      </c>
      <c r="Y47" s="188">
        <v>0</v>
      </c>
      <c r="Z47" s="113">
        <f t="shared" si="4"/>
        <v>0</v>
      </c>
      <c r="AA47" s="169">
        <v>0</v>
      </c>
      <c r="AB47" s="113">
        <f>ROUND(AA47*Valores!$C$2,2)</f>
        <v>0</v>
      </c>
      <c r="AC47" s="113">
        <f>ROUND(IF($F$4="NO",Valores!$C$32,Valores!$C$32/2),2)</f>
        <v>23377.77</v>
      </c>
      <c r="AD47" s="113">
        <f>SUM(F47,H47,J47,L47,M47,N47,O47,P47,Q47,S47,T47,U47,W47,X47,Z47,AB47,AC47)*Valores!$C$58</f>
        <v>89026.327000000019</v>
      </c>
      <c r="AE47" s="113">
        <f t="shared" si="5"/>
        <v>979289.59700000018</v>
      </c>
      <c r="AF47" s="113">
        <f>AF55+AF237</f>
        <v>50999.199999999997</v>
      </c>
      <c r="AG47" s="113">
        <f>Valores!$C$59</f>
        <v>25000</v>
      </c>
      <c r="AH47" s="113">
        <f t="shared" si="1"/>
        <v>75999.199999999997</v>
      </c>
      <c r="AI47" s="113">
        <f>AE47*Valores!$C$39</f>
        <v>-107721.85567000002</v>
      </c>
      <c r="AJ47" s="113">
        <f>IF(AE47&lt;Valores!$E$40,-0.02,IF(AE47&lt;Valores!$F$40,-0.03,-0.04))*AE47</f>
        <v>-29378.687910000004</v>
      </c>
      <c r="AK47" s="113">
        <f>AE47*Valores!$C$42</f>
        <v>-53860.92783500001</v>
      </c>
      <c r="AL47" s="113">
        <f>Valores!$C$56</f>
        <v>-1270.1600000000001</v>
      </c>
      <c r="AM47" s="113">
        <f>IF($F$5=0,Valores!$C$57,(Valores!$C$57+$F$5*(Valores!$C$57)))</f>
        <v>-7026</v>
      </c>
      <c r="AN47" s="113">
        <f t="shared" si="6"/>
        <v>856031.16558500018</v>
      </c>
      <c r="AO47" s="113">
        <f t="shared" si="0"/>
        <v>-107721.85567000002</v>
      </c>
      <c r="AP47" s="113">
        <f t="shared" si="7"/>
        <v>-29378.687910000004</v>
      </c>
      <c r="AQ47" s="113">
        <f>AE47*Valores!$C$43</f>
        <v>-26440.819119000003</v>
      </c>
      <c r="AR47" s="113">
        <f>AE47*Valores!$C$44</f>
        <v>-2937.8687910000008</v>
      </c>
      <c r="AS47" s="113">
        <f t="shared" si="2"/>
        <v>888809.56551000022</v>
      </c>
      <c r="AT47" s="113">
        <f>AE47*Valores!$C$46</f>
        <v>156686.33552000002</v>
      </c>
      <c r="AU47" s="113">
        <f>AE47*Valores!$C$47</f>
        <v>68550.271790000013</v>
      </c>
      <c r="AV47" s="113">
        <f>AE47*Valores!$C$48</f>
        <v>9792.8959700000014</v>
      </c>
      <c r="AW47" s="113">
        <f>AE47*Valores!$C$50</f>
        <v>34275.135895000007</v>
      </c>
      <c r="AX47" s="113">
        <f>AE47*Valores!$C$52</f>
        <v>52881.638238000007</v>
      </c>
      <c r="AY47" s="113">
        <f>AE47*Valores!$C$51</f>
        <v>5875.7375820000016</v>
      </c>
      <c r="AZ47" s="114"/>
      <c r="BA47" s="114"/>
      <c r="BB47" s="111" t="s">
        <v>4</v>
      </c>
    </row>
    <row r="48" spans="1:54" s="100" customFormat="1" ht="11.25" customHeight="1" x14ac:dyDescent="0.15">
      <c r="A48" s="111" t="s">
        <v>151</v>
      </c>
      <c r="B48" s="111">
        <v>1</v>
      </c>
      <c r="C48" s="114">
        <v>41</v>
      </c>
      <c r="D48" s="112" t="s">
        <v>152</v>
      </c>
      <c r="E48" s="169">
        <v>108</v>
      </c>
      <c r="F48" s="113">
        <f>ROUND(E48*Valores!$C$2,2)</f>
        <v>10563.05</v>
      </c>
      <c r="G48" s="169">
        <v>2907</v>
      </c>
      <c r="H48" s="113">
        <f>ROUND(G48*Valores!$C$2,2)</f>
        <v>284322.03999999998</v>
      </c>
      <c r="I48" s="169">
        <v>0</v>
      </c>
      <c r="J48" s="113">
        <f>ROUND(I48*Valores!$C$2,2)</f>
        <v>0</v>
      </c>
      <c r="K48" s="169">
        <v>0</v>
      </c>
      <c r="L48" s="113">
        <f>ROUND(K48*Valores!$C$2,2)</f>
        <v>0</v>
      </c>
      <c r="M48" s="113">
        <f>ROUND(IF($H$2=0,IF(AND(A48&lt;&gt;"13-930",A48&lt;&gt;"13-940"),(SUM(F48,H48,J48,L48,W48,S48,Q48)*Valores!$C$4),0),0),2)</f>
        <v>94519.83</v>
      </c>
      <c r="N48" s="113">
        <f t="shared" si="3"/>
        <v>0</v>
      </c>
      <c r="O48" s="113">
        <f>Valores!C$83</f>
        <v>253744.8</v>
      </c>
      <c r="P48" s="113">
        <f>Valores!$D$5</f>
        <v>49998.43</v>
      </c>
      <c r="Q48" s="113">
        <f>IF($F$4="NO",Valores!$C$24,Valores!$C$24/2)</f>
        <v>36672.879999999997</v>
      </c>
      <c r="R48" s="113">
        <f>Valores!$C$8</f>
        <v>46521.33</v>
      </c>
      <c r="S48" s="113">
        <f t="shared" si="8"/>
        <v>46521.33</v>
      </c>
      <c r="T48" s="113">
        <v>0</v>
      </c>
      <c r="U48" s="113">
        <v>0</v>
      </c>
      <c r="V48" s="169">
        <v>0</v>
      </c>
      <c r="W48" s="113">
        <f>ROUND(V48*Valores!$C$2,2)</f>
        <v>0</v>
      </c>
      <c r="X48" s="113">
        <v>0</v>
      </c>
      <c r="Y48" s="188">
        <v>0</v>
      </c>
      <c r="Z48" s="113">
        <f t="shared" si="4"/>
        <v>0</v>
      </c>
      <c r="AA48" s="169">
        <v>0</v>
      </c>
      <c r="AB48" s="113">
        <f>ROUND(AA48*Valores!$C$2,2)</f>
        <v>0</v>
      </c>
      <c r="AC48" s="113">
        <f>ROUND(IF($F$4="NO",Valores!$C$32,Valores!$C$32/2),2)</f>
        <v>23377.77</v>
      </c>
      <c r="AD48" s="113">
        <f>SUM(F48,H48,J48,L48,M48,N48,O48,P48,Q48,S48,T48,U48,W48,X48,Z48,AB48,AC48)*Valores!$C$58</f>
        <v>79972.013000000006</v>
      </c>
      <c r="AE48" s="113">
        <f t="shared" si="5"/>
        <v>879692.14300000004</v>
      </c>
      <c r="AF48" s="113">
        <f>Valores!$C$11</f>
        <v>36428</v>
      </c>
      <c r="AG48" s="113">
        <f>Valores!$C$59</f>
        <v>25000</v>
      </c>
      <c r="AH48" s="113">
        <f t="shared" si="1"/>
        <v>61428</v>
      </c>
      <c r="AI48" s="113">
        <f>AE48*Valores!$C$39</f>
        <v>-96766.135730000009</v>
      </c>
      <c r="AJ48" s="113">
        <f>IF(AE48&lt;Valores!$E$40,-0.02,IF(AE48&lt;Valores!$F$40,-0.03,-0.04))*AE48</f>
        <v>-26390.764289999999</v>
      </c>
      <c r="AK48" s="113">
        <f>AE48*Valores!$C$42</f>
        <v>-48383.067865000005</v>
      </c>
      <c r="AL48" s="113">
        <f>Valores!$C$56</f>
        <v>-1270.1600000000001</v>
      </c>
      <c r="AM48" s="113">
        <f>IF($F$5=0,Valores!$C$57,(Valores!$C$57+$F$5*(Valores!$C$57)))</f>
        <v>-7026</v>
      </c>
      <c r="AN48" s="113">
        <f t="shared" si="6"/>
        <v>761284.01511500007</v>
      </c>
      <c r="AO48" s="113">
        <f t="shared" si="0"/>
        <v>-96766.135730000009</v>
      </c>
      <c r="AP48" s="113">
        <f t="shared" si="7"/>
        <v>-26390.764289999999</v>
      </c>
      <c r="AQ48" s="113">
        <f>AE48*Valores!$C$43</f>
        <v>-23751.687861000002</v>
      </c>
      <c r="AR48" s="113">
        <f>AE48*Valores!$C$44</f>
        <v>-2639.0764290000002</v>
      </c>
      <c r="AS48" s="113">
        <f t="shared" si="2"/>
        <v>791572.47869000002</v>
      </c>
      <c r="AT48" s="113">
        <f>AE48*Valores!$C$46</f>
        <v>140750.74288000001</v>
      </c>
      <c r="AU48" s="113">
        <f>AE48*Valores!$C$47</f>
        <v>61578.450010000008</v>
      </c>
      <c r="AV48" s="113">
        <f>AE48*Valores!$C$48</f>
        <v>8796.9214300000003</v>
      </c>
      <c r="AW48" s="113">
        <f>AE48*Valores!$C$50</f>
        <v>30789.225005000004</v>
      </c>
      <c r="AX48" s="113">
        <f>AE48*Valores!$C$52</f>
        <v>47503.375722000004</v>
      </c>
      <c r="AY48" s="113">
        <f>AE48*Valores!$C$51</f>
        <v>5278.1528580000004</v>
      </c>
      <c r="AZ48" s="114"/>
      <c r="BA48" s="114">
        <v>30</v>
      </c>
      <c r="BB48" s="111" t="s">
        <v>4</v>
      </c>
    </row>
    <row r="49" spans="1:54" s="100" customFormat="1" ht="11.25" customHeight="1" x14ac:dyDescent="0.15">
      <c r="A49" s="111" t="s">
        <v>153</v>
      </c>
      <c r="B49" s="111">
        <v>1</v>
      </c>
      <c r="C49" s="114">
        <v>42</v>
      </c>
      <c r="D49" s="112" t="s">
        <v>154</v>
      </c>
      <c r="E49" s="169">
        <v>88</v>
      </c>
      <c r="F49" s="113">
        <f>ROUND(E49*Valores!$C$2,2)</f>
        <v>8606.93</v>
      </c>
      <c r="G49" s="169">
        <v>2622</v>
      </c>
      <c r="H49" s="113">
        <f>ROUND(G49*Valores!$C$2,2)</f>
        <v>256447.33</v>
      </c>
      <c r="I49" s="169">
        <v>0</v>
      </c>
      <c r="J49" s="113">
        <f>ROUND(I49*Valores!$C$2,2)</f>
        <v>0</v>
      </c>
      <c r="K49" s="169">
        <v>0</v>
      </c>
      <c r="L49" s="113">
        <f>ROUND(K49*Valores!$C$2,2)</f>
        <v>0</v>
      </c>
      <c r="M49" s="113">
        <f>ROUND(IF($H$2=0,IF(AND(A49&lt;&gt;"13-930",A49&lt;&gt;"13-940"),(SUM(F49,H49,J49,L49,W49,S49,Q49)*Valores!$C$4),0),0),2)</f>
        <v>87062.12</v>
      </c>
      <c r="N49" s="113">
        <f t="shared" si="3"/>
        <v>0</v>
      </c>
      <c r="O49" s="113">
        <f>Valores!C$83</f>
        <v>253744.8</v>
      </c>
      <c r="P49" s="113">
        <f>Valores!$D$5</f>
        <v>49998.43</v>
      </c>
      <c r="Q49" s="113">
        <f>IF($F$4="NO",Valores!$C$24,Valores!$C$24/2)</f>
        <v>36672.879999999997</v>
      </c>
      <c r="R49" s="113">
        <f>Valores!$C$8</f>
        <v>46521.33</v>
      </c>
      <c r="S49" s="113">
        <f t="shared" si="8"/>
        <v>46521.33</v>
      </c>
      <c r="T49" s="113">
        <v>0</v>
      </c>
      <c r="U49" s="113">
        <v>0</v>
      </c>
      <c r="V49" s="169">
        <v>0</v>
      </c>
      <c r="W49" s="113">
        <f>ROUND(V49*Valores!$C$2,2)</f>
        <v>0</v>
      </c>
      <c r="X49" s="113">
        <v>0</v>
      </c>
      <c r="Y49" s="188">
        <v>0</v>
      </c>
      <c r="Z49" s="113">
        <f t="shared" si="4"/>
        <v>0</v>
      </c>
      <c r="AA49" s="169">
        <v>0</v>
      </c>
      <c r="AB49" s="113">
        <f>ROUND(AA49*Valores!$C$2,2)</f>
        <v>0</v>
      </c>
      <c r="AC49" s="113">
        <f>ROUND(IF($F$4="NO",Valores!$C$32,Valores!$C$32/2),2)</f>
        <v>23377.77</v>
      </c>
      <c r="AD49" s="113">
        <f>SUM(F49,H49,J49,L49,M49,N49,O49,P49,Q49,S49,T49,U49,W49,X49,Z49,AB49,AC49)*Valores!$C$58</f>
        <v>76243.159</v>
      </c>
      <c r="AE49" s="113">
        <f t="shared" si="5"/>
        <v>838674.74899999995</v>
      </c>
      <c r="AF49" s="113">
        <f>Valores!$C$11</f>
        <v>36428</v>
      </c>
      <c r="AG49" s="113">
        <f>Valores!$C$59</f>
        <v>25000</v>
      </c>
      <c r="AH49" s="113">
        <f t="shared" si="1"/>
        <v>61428</v>
      </c>
      <c r="AI49" s="113">
        <f>AE49*Valores!$C$39</f>
        <v>-92254.222389999995</v>
      </c>
      <c r="AJ49" s="113">
        <f>IF(AE49&lt;Valores!$E$40,-0.02,IF(AE49&lt;Valores!$F$40,-0.03,-0.04))*AE49</f>
        <v>-25160.242469999997</v>
      </c>
      <c r="AK49" s="113">
        <f>AE49*Valores!$C$42</f>
        <v>-46127.111194999998</v>
      </c>
      <c r="AL49" s="113">
        <f>Valores!$C$56</f>
        <v>-1270.1600000000001</v>
      </c>
      <c r="AM49" s="113">
        <f>IF($F$5=0,Valores!$C$57,(Valores!$C$57+$F$5*(Valores!$C$57)))</f>
        <v>-7026</v>
      </c>
      <c r="AN49" s="113">
        <f t="shared" si="6"/>
        <v>728265.01294499997</v>
      </c>
      <c r="AO49" s="113">
        <f t="shared" si="0"/>
        <v>-92254.222389999995</v>
      </c>
      <c r="AP49" s="113">
        <f t="shared" si="7"/>
        <v>-25160.242469999997</v>
      </c>
      <c r="AQ49" s="113">
        <f>AE49*Valores!$C$43</f>
        <v>-22644.218223</v>
      </c>
      <c r="AR49" s="113">
        <f>AE49*Valores!$C$44</f>
        <v>-2516.0242469999998</v>
      </c>
      <c r="AS49" s="113">
        <f t="shared" si="2"/>
        <v>757528.04166999995</v>
      </c>
      <c r="AT49" s="113">
        <f>AE49*Valores!$C$46</f>
        <v>134187.95984</v>
      </c>
      <c r="AU49" s="113">
        <f>AE49*Valores!$C$47</f>
        <v>58707.232430000004</v>
      </c>
      <c r="AV49" s="113">
        <f>AE49*Valores!$C$48</f>
        <v>8386.7474899999997</v>
      </c>
      <c r="AW49" s="113">
        <f>AE49*Valores!$C$50</f>
        <v>29353.616215000002</v>
      </c>
      <c r="AX49" s="113">
        <f>AE49*Valores!$C$52</f>
        <v>45288.436446</v>
      </c>
      <c r="AY49" s="113">
        <f>AE49*Valores!$C$51</f>
        <v>5032.0484939999997</v>
      </c>
      <c r="AZ49" s="114"/>
      <c r="BA49" s="114">
        <v>30</v>
      </c>
      <c r="BB49" s="111" t="s">
        <v>4</v>
      </c>
    </row>
    <row r="50" spans="1:54" s="100" customFormat="1" ht="11.25" customHeight="1" x14ac:dyDescent="0.15">
      <c r="A50" s="111" t="s">
        <v>155</v>
      </c>
      <c r="B50" s="111">
        <v>1</v>
      </c>
      <c r="C50" s="114">
        <v>43</v>
      </c>
      <c r="D50" s="112" t="s">
        <v>156</v>
      </c>
      <c r="E50" s="169">
        <v>88</v>
      </c>
      <c r="F50" s="113">
        <f>ROUND(E50*Valores!$C$2,2)</f>
        <v>8606.93</v>
      </c>
      <c r="G50" s="169">
        <v>2622</v>
      </c>
      <c r="H50" s="113">
        <f>ROUND(G50*Valores!$C$2,2)</f>
        <v>256447.33</v>
      </c>
      <c r="I50" s="169">
        <v>0</v>
      </c>
      <c r="J50" s="113">
        <f>ROUND(I50*Valores!$C$2,2)</f>
        <v>0</v>
      </c>
      <c r="K50" s="169">
        <v>0</v>
      </c>
      <c r="L50" s="113">
        <f>ROUND(K50*Valores!$C$2,2)</f>
        <v>0</v>
      </c>
      <c r="M50" s="113">
        <f>ROUND(IF($H$2=0,IF(AND(A50&lt;&gt;"13-930",A50&lt;&gt;"13-940"),(SUM(F50,H50,J50,L50,W50,S50,Q50)*Valores!$C$4),0),0),2)</f>
        <v>87062.12</v>
      </c>
      <c r="N50" s="113">
        <f t="shared" si="3"/>
        <v>0</v>
      </c>
      <c r="O50" s="113">
        <f>Valores!C$83</f>
        <v>253744.8</v>
      </c>
      <c r="P50" s="113">
        <f>Valores!$D$5</f>
        <v>49998.43</v>
      </c>
      <c r="Q50" s="113">
        <f>IF($F$4="NO",Valores!$C$24,Valores!$C$24/2)</f>
        <v>36672.879999999997</v>
      </c>
      <c r="R50" s="113">
        <f>Valores!$C$8</f>
        <v>46521.33</v>
      </c>
      <c r="S50" s="113">
        <f t="shared" si="8"/>
        <v>46521.33</v>
      </c>
      <c r="T50" s="113">
        <v>0</v>
      </c>
      <c r="U50" s="113">
        <v>0</v>
      </c>
      <c r="V50" s="169">
        <v>0</v>
      </c>
      <c r="W50" s="113">
        <f>ROUND(V50*Valores!$C$2,2)</f>
        <v>0</v>
      </c>
      <c r="X50" s="113">
        <v>0</v>
      </c>
      <c r="Y50" s="188">
        <v>0</v>
      </c>
      <c r="Z50" s="113">
        <f t="shared" si="4"/>
        <v>0</v>
      </c>
      <c r="AA50" s="169">
        <v>0</v>
      </c>
      <c r="AB50" s="113">
        <f>ROUND(AA50*Valores!$C$2,2)</f>
        <v>0</v>
      </c>
      <c r="AC50" s="113">
        <f>ROUND(IF($F$4="NO",Valores!$C$32,Valores!$C$32/2),2)</f>
        <v>23377.77</v>
      </c>
      <c r="AD50" s="113">
        <f>SUM(F50,H50,J50,L50,M50,N50,O50,P50,Q50,S50,T50,U50,W50,X50,Z50,AB50,AC50)*Valores!$C$58</f>
        <v>76243.159</v>
      </c>
      <c r="AE50" s="113">
        <f t="shared" si="5"/>
        <v>838674.74899999995</v>
      </c>
      <c r="AF50" s="113">
        <f>Valores!$C$11</f>
        <v>36428</v>
      </c>
      <c r="AG50" s="113">
        <f>Valores!$C$59</f>
        <v>25000</v>
      </c>
      <c r="AH50" s="113">
        <f t="shared" si="1"/>
        <v>61428</v>
      </c>
      <c r="AI50" s="113">
        <f>AE50*Valores!$C$39</f>
        <v>-92254.222389999995</v>
      </c>
      <c r="AJ50" s="113">
        <f>IF(AE50&lt;Valores!$E$40,-0.02,IF(AE50&lt;Valores!$F$40,-0.03,-0.04))*AE50</f>
        <v>-25160.242469999997</v>
      </c>
      <c r="AK50" s="113">
        <f>AE50*Valores!$C$42</f>
        <v>-46127.111194999998</v>
      </c>
      <c r="AL50" s="113">
        <f>Valores!$C$56</f>
        <v>-1270.1600000000001</v>
      </c>
      <c r="AM50" s="113">
        <f>IF($F$5=0,Valores!$C$57,(Valores!$C$57+$F$5*(Valores!$C$57)))</f>
        <v>-7026</v>
      </c>
      <c r="AN50" s="113">
        <f t="shared" si="6"/>
        <v>728265.01294499997</v>
      </c>
      <c r="AO50" s="113">
        <f t="shared" si="0"/>
        <v>-92254.222389999995</v>
      </c>
      <c r="AP50" s="113">
        <f t="shared" si="7"/>
        <v>-25160.242469999997</v>
      </c>
      <c r="AQ50" s="113">
        <f>AE50*Valores!$C$43</f>
        <v>-22644.218223</v>
      </c>
      <c r="AR50" s="113">
        <f>AE50*Valores!$C$44</f>
        <v>-2516.0242469999998</v>
      </c>
      <c r="AS50" s="113">
        <f t="shared" si="2"/>
        <v>757528.04166999995</v>
      </c>
      <c r="AT50" s="113">
        <f>AE50*Valores!$C$46</f>
        <v>134187.95984</v>
      </c>
      <c r="AU50" s="113">
        <f>AE50*Valores!$C$47</f>
        <v>58707.232430000004</v>
      </c>
      <c r="AV50" s="113">
        <f>AE50*Valores!$C$48</f>
        <v>8386.7474899999997</v>
      </c>
      <c r="AW50" s="113">
        <f>AE50*Valores!$C$50</f>
        <v>29353.616215000002</v>
      </c>
      <c r="AX50" s="113">
        <f>AE50*Valores!$C$52</f>
        <v>45288.436446</v>
      </c>
      <c r="AY50" s="113">
        <f>AE50*Valores!$C$51</f>
        <v>5032.0484939999997</v>
      </c>
      <c r="AZ50" s="114"/>
      <c r="BA50" s="114">
        <v>30</v>
      </c>
      <c r="BB50" s="111" t="s">
        <v>4</v>
      </c>
    </row>
    <row r="51" spans="1:54" s="100" customFormat="1" ht="11.25" customHeight="1" x14ac:dyDescent="0.15">
      <c r="A51" s="111" t="s">
        <v>157</v>
      </c>
      <c r="B51" s="111">
        <v>1</v>
      </c>
      <c r="C51" s="114">
        <v>44</v>
      </c>
      <c r="D51" s="112" t="s">
        <v>158</v>
      </c>
      <c r="E51" s="169">
        <v>80</v>
      </c>
      <c r="F51" s="113">
        <f>ROUND(E51*Valores!$C$2,2)</f>
        <v>7824.48</v>
      </c>
      <c r="G51" s="169">
        <v>2278</v>
      </c>
      <c r="H51" s="113">
        <f>ROUND(G51*Valores!$C$2,2)</f>
        <v>222802.07</v>
      </c>
      <c r="I51" s="169">
        <v>0</v>
      </c>
      <c r="J51" s="113">
        <f>ROUND(I51*Valores!$C$2,2)</f>
        <v>0</v>
      </c>
      <c r="K51" s="169">
        <v>0</v>
      </c>
      <c r="L51" s="113">
        <f>ROUND(K51*Valores!$C$2,2)</f>
        <v>0</v>
      </c>
      <c r="M51" s="113">
        <f>ROUND(IF($H$2=0,IF(AND(A51&lt;&gt;"13-930",A51&lt;&gt;"13-940"),(SUM(F51,H51,J51,L51,W51,S51,Q51)*Valores!$C$4),0),0),2)</f>
        <v>78455.19</v>
      </c>
      <c r="N51" s="113">
        <f t="shared" si="3"/>
        <v>0</v>
      </c>
      <c r="O51" s="113">
        <f>Valores!C$83</f>
        <v>253744.8</v>
      </c>
      <c r="P51" s="113">
        <f>Valores!$D$5</f>
        <v>49998.43</v>
      </c>
      <c r="Q51" s="113">
        <f>IF($F$4="NO",Valores!$C$24,Valores!$C$24/2)</f>
        <v>36672.879999999997</v>
      </c>
      <c r="R51" s="113">
        <f>Valores!$C$8</f>
        <v>46521.33</v>
      </c>
      <c r="S51" s="113">
        <f t="shared" si="8"/>
        <v>46521.33</v>
      </c>
      <c r="T51" s="113">
        <v>0</v>
      </c>
      <c r="U51" s="113">
        <v>0</v>
      </c>
      <c r="V51" s="169">
        <v>0</v>
      </c>
      <c r="W51" s="113">
        <f>ROUND(V51*Valores!$C$2,2)</f>
        <v>0</v>
      </c>
      <c r="X51" s="113">
        <v>0</v>
      </c>
      <c r="Y51" s="188">
        <v>0</v>
      </c>
      <c r="Z51" s="113">
        <f t="shared" si="4"/>
        <v>0</v>
      </c>
      <c r="AA51" s="169">
        <v>0</v>
      </c>
      <c r="AB51" s="113">
        <f>ROUND(AA51*Valores!$C$2,2)</f>
        <v>0</v>
      </c>
      <c r="AC51" s="113">
        <f>ROUND(IF($F$4="NO",Valores!$C$32,Valores!$C$32/2),2)</f>
        <v>23377.77</v>
      </c>
      <c r="AD51" s="113">
        <f>SUM(F51,H51,J51,L51,M51,N51,O51,P51,Q51,S51,T51,U51,W51,X51,Z51,AB51,AC51)*Valores!$C$58</f>
        <v>71939.695000000007</v>
      </c>
      <c r="AE51" s="113">
        <f t="shared" si="5"/>
        <v>791336.64500000002</v>
      </c>
      <c r="AF51" s="113">
        <f>Valores!$C$11</f>
        <v>36428</v>
      </c>
      <c r="AG51" s="113">
        <f>Valores!$C$59</f>
        <v>25000</v>
      </c>
      <c r="AH51" s="113">
        <f t="shared" si="1"/>
        <v>61428</v>
      </c>
      <c r="AI51" s="113">
        <f>AE51*Valores!$C$39</f>
        <v>-87047.03095</v>
      </c>
      <c r="AJ51" s="113">
        <f>IF(AE51&lt;Valores!$E$40,-0.02,IF(AE51&lt;Valores!$F$40,-0.03,-0.04))*AE51</f>
        <v>-23740.09935</v>
      </c>
      <c r="AK51" s="113">
        <f>AE51*Valores!$C$42</f>
        <v>-43523.515475</v>
      </c>
      <c r="AL51" s="113">
        <f>Valores!$C$56</f>
        <v>-1270.1600000000001</v>
      </c>
      <c r="AM51" s="113">
        <f>IF($F$5=0,Valores!$C$57,(Valores!$C$57+$F$5*(Valores!$C$57)))</f>
        <v>-7026</v>
      </c>
      <c r="AN51" s="113">
        <f t="shared" si="6"/>
        <v>690157.839225</v>
      </c>
      <c r="AO51" s="113">
        <f t="shared" si="0"/>
        <v>-87047.03095</v>
      </c>
      <c r="AP51" s="113">
        <f t="shared" si="7"/>
        <v>-23740.09935</v>
      </c>
      <c r="AQ51" s="113">
        <f>AE51*Valores!$C$43</f>
        <v>-21366.089414999999</v>
      </c>
      <c r="AR51" s="113">
        <f>AE51*Valores!$C$44</f>
        <v>-2374.009935</v>
      </c>
      <c r="AS51" s="113">
        <f t="shared" si="2"/>
        <v>718237.41535000002</v>
      </c>
      <c r="AT51" s="113">
        <f>AE51*Valores!$C$46</f>
        <v>126613.86320000001</v>
      </c>
      <c r="AU51" s="113">
        <f>AE51*Valores!$C$47</f>
        <v>55393.565150000009</v>
      </c>
      <c r="AV51" s="113">
        <f>AE51*Valores!$C$48</f>
        <v>7913.3664500000004</v>
      </c>
      <c r="AW51" s="113">
        <f>AE51*Valores!$C$50</f>
        <v>27696.782575000005</v>
      </c>
      <c r="AX51" s="113">
        <f>AE51*Valores!$C$52</f>
        <v>42732.178829999997</v>
      </c>
      <c r="AY51" s="113">
        <f>AE51*Valores!$C$51</f>
        <v>4748.0198700000001</v>
      </c>
      <c r="AZ51" s="114"/>
      <c r="BA51" s="114">
        <v>30</v>
      </c>
      <c r="BB51" s="111" t="s">
        <v>4</v>
      </c>
    </row>
    <row r="52" spans="1:54" s="100" customFormat="1" ht="11.25" customHeight="1" x14ac:dyDescent="0.15">
      <c r="A52" s="111" t="s">
        <v>159</v>
      </c>
      <c r="B52" s="111">
        <v>1</v>
      </c>
      <c r="C52" s="114">
        <v>45</v>
      </c>
      <c r="D52" s="112" t="s">
        <v>160</v>
      </c>
      <c r="E52" s="169">
        <v>100</v>
      </c>
      <c r="F52" s="113">
        <f>ROUND(E52*Valores!$C$2,2)</f>
        <v>9780.6</v>
      </c>
      <c r="G52" s="169">
        <v>3620</v>
      </c>
      <c r="H52" s="113">
        <f>ROUND(G52*Valores!$C$2,2)</f>
        <v>354057.72</v>
      </c>
      <c r="I52" s="169">
        <v>0</v>
      </c>
      <c r="J52" s="113">
        <f>ROUND(I52*Valores!$C$2,2)</f>
        <v>0</v>
      </c>
      <c r="K52" s="169">
        <v>0</v>
      </c>
      <c r="L52" s="113">
        <f>ROUND(K52*Valores!$C$2,2)</f>
        <v>0</v>
      </c>
      <c r="M52" s="113">
        <f>ROUND(IF($H$2=0,IF(AND(A52&lt;&gt;"13-930",A52&lt;&gt;"13-940"),(SUM(F52,H52,J52,L52,W52,S52,Q52)*Valores!$C$4),0),0),2)</f>
        <v>115656.21</v>
      </c>
      <c r="N52" s="113">
        <f t="shared" si="3"/>
        <v>0</v>
      </c>
      <c r="O52" s="113">
        <f>Valores!C$89</f>
        <v>308514.28999999998</v>
      </c>
      <c r="P52" s="113">
        <f>Valores!$D$5</f>
        <v>49998.43</v>
      </c>
      <c r="Q52" s="113">
        <f>IF($F$4="NO",Valores!$C$26,Valores!$C$26/2)</f>
        <v>52265.18</v>
      </c>
      <c r="R52" s="113">
        <f>Valores!$C$8</f>
        <v>46521.33</v>
      </c>
      <c r="S52" s="113">
        <f t="shared" si="8"/>
        <v>46521.33</v>
      </c>
      <c r="T52" s="113">
        <v>0</v>
      </c>
      <c r="U52" s="113">
        <v>0</v>
      </c>
      <c r="V52" s="169">
        <v>0</v>
      </c>
      <c r="W52" s="113">
        <f>ROUND(V52*Valores!$C$2,2)</f>
        <v>0</v>
      </c>
      <c r="X52" s="113">
        <v>0</v>
      </c>
      <c r="Y52" s="188">
        <v>0</v>
      </c>
      <c r="Z52" s="113">
        <f t="shared" si="4"/>
        <v>0</v>
      </c>
      <c r="AA52" s="169">
        <v>0</v>
      </c>
      <c r="AB52" s="113">
        <f>ROUND(AA52*Valores!$C$2,2)</f>
        <v>0</v>
      </c>
      <c r="AC52" s="113">
        <f>ROUND(IF($F$4="NO",Valores!$C$32,Valores!$C$32/2),2)</f>
        <v>23377.77</v>
      </c>
      <c r="AD52" s="113">
        <f>SUM(F52,H52,J52,L52,M52,N52,O52,P52,Q52,S52,T52,U52,W52,X52,Z52,AB52,AC52)*Valores!$C$58</f>
        <v>96017.153000000006</v>
      </c>
      <c r="AE52" s="113">
        <f t="shared" si="5"/>
        <v>1056188.683</v>
      </c>
      <c r="AF52" s="113">
        <f>Valores!$C$12</f>
        <v>72856</v>
      </c>
      <c r="AG52" s="113">
        <f>Valores!$C$59</f>
        <v>25000</v>
      </c>
      <c r="AH52" s="113">
        <f t="shared" si="1"/>
        <v>97856</v>
      </c>
      <c r="AI52" s="113">
        <f>AE52*Valores!$C$39</f>
        <v>-116180.75512999999</v>
      </c>
      <c r="AJ52" s="113">
        <f>IF(AE52&lt;Valores!$E$40,-0.02,IF(AE52&lt;Valores!$F$40,-0.03,-0.04))*AE52</f>
        <v>-42247.547319999998</v>
      </c>
      <c r="AK52" s="113">
        <f>AE52*Valores!$C$42</f>
        <v>-58090.377564999995</v>
      </c>
      <c r="AL52" s="113">
        <f>Valores!$C$56</f>
        <v>-1270.1600000000001</v>
      </c>
      <c r="AM52" s="113">
        <f>IF($F$5=0,Valores!$C$57,(Valores!$C$57+$F$5*(Valores!$C$57)))</f>
        <v>-7026</v>
      </c>
      <c r="AN52" s="113">
        <f t="shared" si="6"/>
        <v>929229.842985</v>
      </c>
      <c r="AO52" s="113">
        <f t="shared" si="0"/>
        <v>-116180.75512999999</v>
      </c>
      <c r="AP52" s="113">
        <f t="shared" si="7"/>
        <v>-42247.547319999998</v>
      </c>
      <c r="AQ52" s="113">
        <f>AE52*Valores!$C$43</f>
        <v>-28517.094440999997</v>
      </c>
      <c r="AR52" s="113">
        <f>AE52*Valores!$C$44</f>
        <v>-3168.566049</v>
      </c>
      <c r="AS52" s="113">
        <f t="shared" si="2"/>
        <v>963930.72005999996</v>
      </c>
      <c r="AT52" s="113">
        <f>AE52*Valores!$C$46</f>
        <v>168990.18927999999</v>
      </c>
      <c r="AU52" s="113">
        <f>AE52*Valores!$C$47</f>
        <v>73933.207810000007</v>
      </c>
      <c r="AV52" s="113">
        <f>AE52*Valores!$C$48</f>
        <v>10561.886829999999</v>
      </c>
      <c r="AW52" s="113">
        <f>AE52*Valores!$C$50</f>
        <v>36966.603905000004</v>
      </c>
      <c r="AX52" s="113">
        <f>AE52*Valores!$C$52</f>
        <v>57034.188881999995</v>
      </c>
      <c r="AY52" s="113">
        <f>AE52*Valores!$C$51</f>
        <v>6337.132098</v>
      </c>
      <c r="AZ52" s="114"/>
      <c r="BA52" s="114"/>
      <c r="BB52" s="111" t="s">
        <v>4</v>
      </c>
    </row>
    <row r="53" spans="1:54" s="100" customFormat="1" ht="11.25" customHeight="1" x14ac:dyDescent="0.15">
      <c r="A53" s="111" t="s">
        <v>161</v>
      </c>
      <c r="B53" s="111">
        <v>1</v>
      </c>
      <c r="C53" s="114">
        <v>46</v>
      </c>
      <c r="D53" s="112" t="s">
        <v>162</v>
      </c>
      <c r="E53" s="169">
        <v>100</v>
      </c>
      <c r="F53" s="113">
        <f>ROUND(E53*Valores!$C$2,2)</f>
        <v>9780.6</v>
      </c>
      <c r="G53" s="169">
        <v>3560</v>
      </c>
      <c r="H53" s="113">
        <f>ROUND(G53*Valores!$C$2,2)</f>
        <v>348189.36</v>
      </c>
      <c r="I53" s="169">
        <v>0</v>
      </c>
      <c r="J53" s="113">
        <f>ROUND(I53*Valores!$C$2,2)</f>
        <v>0</v>
      </c>
      <c r="K53" s="169">
        <v>0</v>
      </c>
      <c r="L53" s="113">
        <f>ROUND(K53*Valores!$C$2,2)</f>
        <v>0</v>
      </c>
      <c r="M53" s="113">
        <f>ROUND(IF($H$2=0,IF(AND(A53&lt;&gt;"13-930",A53&lt;&gt;"13-940"),(SUM(F53,H53,J53,L53,W53,S53,Q53)*Valores!$C$4),0),0),2)</f>
        <v>114189.12</v>
      </c>
      <c r="N53" s="113">
        <f t="shared" si="3"/>
        <v>0</v>
      </c>
      <c r="O53" s="113">
        <f>Valores!C$85</f>
        <v>263910.59000000003</v>
      </c>
      <c r="P53" s="113">
        <f>Valores!$D$5</f>
        <v>49998.43</v>
      </c>
      <c r="Q53" s="113">
        <f>IF($F$4="NO",Valores!$C$26,Valores!$C$26/2)</f>
        <v>52265.18</v>
      </c>
      <c r="R53" s="113">
        <f>Valores!$C$8</f>
        <v>46521.33</v>
      </c>
      <c r="S53" s="113">
        <f t="shared" si="8"/>
        <v>46521.33</v>
      </c>
      <c r="T53" s="113">
        <v>0</v>
      </c>
      <c r="U53" s="113">
        <v>0</v>
      </c>
      <c r="V53" s="169">
        <v>0</v>
      </c>
      <c r="W53" s="113">
        <f>ROUND(V53*Valores!$C$2,2)</f>
        <v>0</v>
      </c>
      <c r="X53" s="113">
        <v>0</v>
      </c>
      <c r="Y53" s="188">
        <v>0</v>
      </c>
      <c r="Z53" s="113">
        <f t="shared" si="4"/>
        <v>0</v>
      </c>
      <c r="AA53" s="169">
        <v>0</v>
      </c>
      <c r="AB53" s="113">
        <f>ROUND(AA53*Valores!$C$2,2)</f>
        <v>0</v>
      </c>
      <c r="AC53" s="113">
        <f>ROUND(IF($F$4="NO",Valores!$C$32,Valores!$C$32/2),2)</f>
        <v>23377.77</v>
      </c>
      <c r="AD53" s="113">
        <f>SUM(F53,H53,J53,L53,M53,N53,O53,P53,Q53,S53,T53,U53,W53,X53,Z53,AB53,AC53)*Valores!$C$58</f>
        <v>90823.238000000012</v>
      </c>
      <c r="AE53" s="113">
        <f t="shared" si="5"/>
        <v>999055.61800000002</v>
      </c>
      <c r="AF53" s="113">
        <f>Valores!$C$11</f>
        <v>36428</v>
      </c>
      <c r="AG53" s="113">
        <f>Valores!$C$59</f>
        <v>25000</v>
      </c>
      <c r="AH53" s="113">
        <f t="shared" si="1"/>
        <v>61428</v>
      </c>
      <c r="AI53" s="113">
        <f>AE53*Valores!$C$39</f>
        <v>-109896.11798</v>
      </c>
      <c r="AJ53" s="113">
        <f>IF(AE53&lt;Valores!$E$40,-0.02,IF(AE53&lt;Valores!$F$40,-0.03,-0.04))*AE53</f>
        <v>-29971.668539999999</v>
      </c>
      <c r="AK53" s="113">
        <f>AE53*Valores!$C$42</f>
        <v>-54948.058989999998</v>
      </c>
      <c r="AL53" s="113">
        <f>Valores!$C$56</f>
        <v>-1270.1600000000001</v>
      </c>
      <c r="AM53" s="113">
        <f>IF($F$5=0,Valores!$C$57,(Valores!$C$57+$F$5*(Valores!$C$57)))</f>
        <v>-7026</v>
      </c>
      <c r="AN53" s="113">
        <f t="shared" si="6"/>
        <v>857371.61248999997</v>
      </c>
      <c r="AO53" s="113">
        <f t="shared" si="0"/>
        <v>-109896.11798</v>
      </c>
      <c r="AP53" s="113">
        <f t="shared" si="7"/>
        <v>-29971.668539999999</v>
      </c>
      <c r="AQ53" s="113">
        <f>AE53*Valores!$C$43</f>
        <v>-26974.501686</v>
      </c>
      <c r="AR53" s="113">
        <f>AE53*Valores!$C$44</f>
        <v>-2997.1668540000001</v>
      </c>
      <c r="AS53" s="113">
        <f t="shared" si="2"/>
        <v>890644.16293999995</v>
      </c>
      <c r="AT53" s="113">
        <f>AE53*Valores!$C$46</f>
        <v>159848.89887999999</v>
      </c>
      <c r="AU53" s="113">
        <f>AE53*Valores!$C$47</f>
        <v>69933.893260000012</v>
      </c>
      <c r="AV53" s="113">
        <f>AE53*Valores!$C$48</f>
        <v>9990.5561799999996</v>
      </c>
      <c r="AW53" s="113">
        <f>AE53*Valores!$C$50</f>
        <v>34966.946630000006</v>
      </c>
      <c r="AX53" s="113">
        <f>AE53*Valores!$C$52</f>
        <v>53949.003371999999</v>
      </c>
      <c r="AY53" s="113">
        <f>AE53*Valores!$C$51</f>
        <v>5994.3337080000001</v>
      </c>
      <c r="AZ53" s="114"/>
      <c r="BA53" s="114"/>
      <c r="BB53" s="111" t="s">
        <v>8</v>
      </c>
    </row>
    <row r="54" spans="1:54" s="100" customFormat="1" ht="11.25" customHeight="1" x14ac:dyDescent="0.15">
      <c r="A54" s="111" t="s">
        <v>163</v>
      </c>
      <c r="B54" s="111">
        <v>1</v>
      </c>
      <c r="C54" s="114">
        <v>47</v>
      </c>
      <c r="D54" s="112" t="s">
        <v>164</v>
      </c>
      <c r="E54" s="169">
        <v>100</v>
      </c>
      <c r="F54" s="113">
        <f>ROUND(E54*Valores!$C$2,2)</f>
        <v>9780.6</v>
      </c>
      <c r="G54" s="169">
        <v>3360</v>
      </c>
      <c r="H54" s="113">
        <f>ROUND(G54*Valores!$C$2,2)</f>
        <v>328628.15999999997</v>
      </c>
      <c r="I54" s="169">
        <v>0</v>
      </c>
      <c r="J54" s="113">
        <f>ROUND(I54*Valores!$C$2,2)</f>
        <v>0</v>
      </c>
      <c r="K54" s="169">
        <v>0</v>
      </c>
      <c r="L54" s="113">
        <f>ROUND(K54*Valores!$C$2,2)</f>
        <v>0</v>
      </c>
      <c r="M54" s="113">
        <f>ROUND(IF($H$2=0,IF(AND(A54&lt;&gt;"13-930",A54&lt;&gt;"13-940"),(SUM(F54,H54,J54,L54,W54,S54,Q54)*Valores!$C$4),0),0),2)</f>
        <v>109298.82</v>
      </c>
      <c r="N54" s="113">
        <f t="shared" si="3"/>
        <v>0</v>
      </c>
      <c r="O54" s="113">
        <f>Valores!C$89</f>
        <v>308514.28999999998</v>
      </c>
      <c r="P54" s="113">
        <f>Valores!$D$5</f>
        <v>49998.43</v>
      </c>
      <c r="Q54" s="113">
        <f>IF($F$4="NO",Valores!$C$26,Valores!$C$26/2)</f>
        <v>52265.18</v>
      </c>
      <c r="R54" s="113">
        <f>Valores!$C$8</f>
        <v>46521.33</v>
      </c>
      <c r="S54" s="113">
        <f t="shared" si="8"/>
        <v>46521.33</v>
      </c>
      <c r="T54" s="113">
        <v>0</v>
      </c>
      <c r="U54" s="113">
        <v>0</v>
      </c>
      <c r="V54" s="169">
        <v>0</v>
      </c>
      <c r="W54" s="113">
        <f>ROUND(V54*Valores!$C$2,2)</f>
        <v>0</v>
      </c>
      <c r="X54" s="113">
        <v>0</v>
      </c>
      <c r="Y54" s="188">
        <v>0</v>
      </c>
      <c r="Z54" s="113">
        <f t="shared" si="4"/>
        <v>0</v>
      </c>
      <c r="AA54" s="169">
        <v>0</v>
      </c>
      <c r="AB54" s="113">
        <f>ROUND(AA54*Valores!$C$2,2)</f>
        <v>0</v>
      </c>
      <c r="AC54" s="113">
        <f>ROUND(IF($F$4="NO",Valores!$C$32,Valores!$C$32/2),2)</f>
        <v>23377.77</v>
      </c>
      <c r="AD54" s="113">
        <f>SUM(F54,H54,J54,L54,M54,N54,O54,P54,Q54,S54,T54,U54,W54,X54,Z54,AB54,AC54)*Valores!$C$58</f>
        <v>92838.457999999999</v>
      </c>
      <c r="AE54" s="113">
        <f t="shared" si="5"/>
        <v>1021223.0379999999</v>
      </c>
      <c r="AF54" s="113">
        <f>Valores!$C$11</f>
        <v>36428</v>
      </c>
      <c r="AG54" s="113">
        <f>Valores!$C$59</f>
        <v>25000</v>
      </c>
      <c r="AH54" s="113">
        <f t="shared" si="1"/>
        <v>61428</v>
      </c>
      <c r="AI54" s="113">
        <f>AE54*Valores!$C$39</f>
        <v>-112334.53417999999</v>
      </c>
      <c r="AJ54" s="113">
        <f>IF(AE54&lt;Valores!$E$40,-0.02,IF(AE54&lt;Valores!$F$40,-0.03,-0.04))*AE54</f>
        <v>-40848.921519999996</v>
      </c>
      <c r="AK54" s="113">
        <f>AE54*Valores!$C$42</f>
        <v>-56167.267089999994</v>
      </c>
      <c r="AL54" s="113">
        <f>Valores!$C$56</f>
        <v>-1270.1600000000001</v>
      </c>
      <c r="AM54" s="113">
        <f>IF($F$5=0,Valores!$C$57,(Valores!$C$57+$F$5*(Valores!$C$57)))</f>
        <v>-7026</v>
      </c>
      <c r="AN54" s="113">
        <f t="shared" si="6"/>
        <v>865004.15521</v>
      </c>
      <c r="AO54" s="113">
        <f t="shared" si="0"/>
        <v>-112334.53417999999</v>
      </c>
      <c r="AP54" s="113">
        <f t="shared" si="7"/>
        <v>-40848.921519999996</v>
      </c>
      <c r="AQ54" s="113">
        <f>AE54*Valores!$C$43</f>
        <v>-27573.022025999999</v>
      </c>
      <c r="AR54" s="113">
        <f>AE54*Valores!$C$44</f>
        <v>-3063.6691139999998</v>
      </c>
      <c r="AS54" s="113">
        <f t="shared" si="2"/>
        <v>898830.89116</v>
      </c>
      <c r="AT54" s="113">
        <f>AE54*Valores!$C$46</f>
        <v>163395.68607999998</v>
      </c>
      <c r="AU54" s="113">
        <f>AE54*Valores!$C$47</f>
        <v>71485.612659999999</v>
      </c>
      <c r="AV54" s="113">
        <f>AE54*Valores!$C$48</f>
        <v>10212.230379999999</v>
      </c>
      <c r="AW54" s="113">
        <f>AE54*Valores!$C$50</f>
        <v>35742.806329999999</v>
      </c>
      <c r="AX54" s="113">
        <f>AE54*Valores!$C$52</f>
        <v>55146.044051999997</v>
      </c>
      <c r="AY54" s="113">
        <f>AE54*Valores!$C$51</f>
        <v>6127.3382279999996</v>
      </c>
      <c r="AZ54" s="114"/>
      <c r="BA54" s="114"/>
      <c r="BB54" s="111" t="s">
        <v>4</v>
      </c>
    </row>
    <row r="55" spans="1:54" s="100" customFormat="1" ht="11.25" customHeight="1" x14ac:dyDescent="0.15">
      <c r="A55" s="111" t="s">
        <v>165</v>
      </c>
      <c r="B55" s="111">
        <v>1</v>
      </c>
      <c r="C55" s="114">
        <v>48</v>
      </c>
      <c r="D55" s="112" t="s">
        <v>166</v>
      </c>
      <c r="E55" s="169">
        <v>98</v>
      </c>
      <c r="F55" s="113">
        <f>ROUND(E55*Valores!$C$2,2)</f>
        <v>9584.99</v>
      </c>
      <c r="G55" s="169">
        <v>2686</v>
      </c>
      <c r="H55" s="113">
        <f>ROUND(G55*Valores!$C$2,2)</f>
        <v>262706.92</v>
      </c>
      <c r="I55" s="169">
        <v>0</v>
      </c>
      <c r="J55" s="113">
        <f>ROUND(I55*Valores!$C$2,2)</f>
        <v>0</v>
      </c>
      <c r="K55" s="169">
        <v>0</v>
      </c>
      <c r="L55" s="113">
        <f>ROUND(K55*Valores!$C$2,2)</f>
        <v>0</v>
      </c>
      <c r="M55" s="113">
        <f>ROUND(IF($H$2=0,IF(AND(A55&lt;&gt;"13-930",A55&lt;&gt;"13-940"),(SUM(F55,H55,J55,L55,W55,S55,Q55)*Valores!$C$4),0),0),2)</f>
        <v>88871.53</v>
      </c>
      <c r="N55" s="113">
        <f t="shared" si="3"/>
        <v>0</v>
      </c>
      <c r="O55" s="113">
        <f>Valores!C$83</f>
        <v>253744.8</v>
      </c>
      <c r="P55" s="113">
        <f>Valores!$D$5</f>
        <v>49998.43</v>
      </c>
      <c r="Q55" s="113">
        <f>IF($F$4="NO",Valores!$C$24,Valores!$C$24/2)</f>
        <v>36672.879999999997</v>
      </c>
      <c r="R55" s="113">
        <f>Valores!$C$8</f>
        <v>46521.33</v>
      </c>
      <c r="S55" s="113">
        <f t="shared" si="8"/>
        <v>46521.33</v>
      </c>
      <c r="T55" s="113">
        <v>0</v>
      </c>
      <c r="U55" s="113">
        <v>0</v>
      </c>
      <c r="V55" s="169">
        <v>0</v>
      </c>
      <c r="W55" s="113">
        <f>ROUND(V55*Valores!$C$2,2)</f>
        <v>0</v>
      </c>
      <c r="X55" s="113">
        <v>0</v>
      </c>
      <c r="Y55" s="188">
        <v>0</v>
      </c>
      <c r="Z55" s="113">
        <f t="shared" si="4"/>
        <v>0</v>
      </c>
      <c r="AA55" s="169">
        <v>0</v>
      </c>
      <c r="AB55" s="113">
        <f>ROUND(AA55*Valores!$C$2,2)</f>
        <v>0</v>
      </c>
      <c r="AC55" s="113">
        <f>ROUND(IF($F$4="NO",Valores!$C$32,Valores!$C$32/2),2)</f>
        <v>23377.77</v>
      </c>
      <c r="AD55" s="113">
        <f>SUM(F55,H55,J55,L55,M55,N55,O55,P55,Q55,S55,T55,U55,W55,X55,Z55,AB55,AC55)*Valores!$C$58</f>
        <v>77147.865000000005</v>
      </c>
      <c r="AE55" s="113">
        <f t="shared" si="5"/>
        <v>848626.51500000001</v>
      </c>
      <c r="AF55" s="113">
        <f>Valores!$C$11</f>
        <v>36428</v>
      </c>
      <c r="AG55" s="113">
        <f>Valores!$C$59</f>
        <v>25000</v>
      </c>
      <c r="AH55" s="113">
        <f t="shared" si="1"/>
        <v>61428</v>
      </c>
      <c r="AI55" s="113">
        <f>AE55*Valores!$C$39</f>
        <v>-93348.916649999999</v>
      </c>
      <c r="AJ55" s="113">
        <f>IF(AE55&lt;Valores!$E$40,-0.02,IF(AE55&lt;Valores!$F$40,-0.03,-0.04))*AE55</f>
        <v>-25458.795449999998</v>
      </c>
      <c r="AK55" s="113">
        <f>AE55*Valores!$C$42</f>
        <v>-46674.458325</v>
      </c>
      <c r="AL55" s="113">
        <f>Valores!$C$56</f>
        <v>-1270.1600000000001</v>
      </c>
      <c r="AM55" s="113">
        <f>IF($F$5=0,Valores!$C$57,(Valores!$C$57+$F$5*(Valores!$C$57)))</f>
        <v>-7026</v>
      </c>
      <c r="AN55" s="113">
        <f t="shared" si="6"/>
        <v>736276.18457500008</v>
      </c>
      <c r="AO55" s="113">
        <f t="shared" si="0"/>
        <v>-93348.916649999999</v>
      </c>
      <c r="AP55" s="113">
        <f t="shared" si="7"/>
        <v>-25458.795449999998</v>
      </c>
      <c r="AQ55" s="113">
        <f>AE55*Valores!$C$43</f>
        <v>-22912.915905000002</v>
      </c>
      <c r="AR55" s="113">
        <f>AE55*Valores!$C$44</f>
        <v>-2545.8795450000002</v>
      </c>
      <c r="AS55" s="113">
        <f t="shared" si="2"/>
        <v>765788.00745000003</v>
      </c>
      <c r="AT55" s="113">
        <f>AE55*Valores!$C$46</f>
        <v>135780.24240000002</v>
      </c>
      <c r="AU55" s="113">
        <f>AE55*Valores!$C$47</f>
        <v>59403.856050000009</v>
      </c>
      <c r="AV55" s="113">
        <f>AE55*Valores!$C$48</f>
        <v>8486.2651500000011</v>
      </c>
      <c r="AW55" s="113">
        <f>AE55*Valores!$C$50</f>
        <v>29701.928025000005</v>
      </c>
      <c r="AX55" s="113">
        <f>AE55*Valores!$C$52</f>
        <v>45825.831810000003</v>
      </c>
      <c r="AY55" s="113">
        <f>AE55*Valores!$C$51</f>
        <v>5091.7590900000005</v>
      </c>
      <c r="AZ55" s="114"/>
      <c r="BA55" s="114">
        <v>30</v>
      </c>
      <c r="BB55" s="111" t="s">
        <v>4</v>
      </c>
    </row>
    <row r="56" spans="1:54" s="100" customFormat="1" ht="11.25" customHeight="1" x14ac:dyDescent="0.15">
      <c r="A56" s="111" t="s">
        <v>167</v>
      </c>
      <c r="B56" s="111">
        <v>1</v>
      </c>
      <c r="C56" s="114">
        <v>49</v>
      </c>
      <c r="D56" s="112" t="s">
        <v>168</v>
      </c>
      <c r="E56" s="169">
        <v>94</v>
      </c>
      <c r="F56" s="113">
        <f>ROUND(E56*Valores!$C$2,2)</f>
        <v>9193.76</v>
      </c>
      <c r="G56" s="169">
        <v>2690</v>
      </c>
      <c r="H56" s="113">
        <f>ROUND(G56*Valores!$C$2,2)</f>
        <v>263098.14</v>
      </c>
      <c r="I56" s="169">
        <v>0</v>
      </c>
      <c r="J56" s="113">
        <f>ROUND(I56*Valores!$C$2,2)</f>
        <v>0</v>
      </c>
      <c r="K56" s="169">
        <v>0</v>
      </c>
      <c r="L56" s="113">
        <f>ROUND(K56*Valores!$C$2,2)</f>
        <v>0</v>
      </c>
      <c r="M56" s="113">
        <f>ROUND(IF($H$2=0,IF(AND(A56&lt;&gt;"13-930",A56&lt;&gt;"13-940"),(SUM(F56,H56,J56,L56,W56,S56,Q56)*Valores!$C$4),0),0),2)</f>
        <v>88871.53</v>
      </c>
      <c r="N56" s="113">
        <f t="shared" si="3"/>
        <v>0</v>
      </c>
      <c r="O56" s="113">
        <f>Valores!C$83</f>
        <v>253744.8</v>
      </c>
      <c r="P56" s="113">
        <f>Valores!$D$5</f>
        <v>49998.43</v>
      </c>
      <c r="Q56" s="113">
        <f>IF($F$4="NO",Valores!$C$24,Valores!$C$24/2)</f>
        <v>36672.879999999997</v>
      </c>
      <c r="R56" s="113">
        <f>Valores!$C$8</f>
        <v>46521.33</v>
      </c>
      <c r="S56" s="113">
        <f t="shared" si="8"/>
        <v>46521.33</v>
      </c>
      <c r="T56" s="113">
        <v>0</v>
      </c>
      <c r="U56" s="113">
        <v>0</v>
      </c>
      <c r="V56" s="169">
        <v>0</v>
      </c>
      <c r="W56" s="113">
        <f>ROUND(V56*Valores!$C$2,2)</f>
        <v>0</v>
      </c>
      <c r="X56" s="113">
        <v>0</v>
      </c>
      <c r="Y56" s="188">
        <v>0</v>
      </c>
      <c r="Z56" s="113">
        <f t="shared" si="4"/>
        <v>0</v>
      </c>
      <c r="AA56" s="169">
        <v>94</v>
      </c>
      <c r="AB56" s="113">
        <f>ROUND(AA56*Valores!$C$2,2)</f>
        <v>9193.76</v>
      </c>
      <c r="AC56" s="113">
        <f>ROUND(IF($F$4="NO",Valores!$C$32,Valores!$C$32/2),2)</f>
        <v>23377.77</v>
      </c>
      <c r="AD56" s="113">
        <f>SUM(F56,H56,J56,L56,M56,N56,O56,P56,Q56,S56,T56,U56,W56,X56,Z56,AB56,AC56)*Valores!$C$58</f>
        <v>78067.240000000005</v>
      </c>
      <c r="AE56" s="113">
        <f t="shared" si="5"/>
        <v>858739.64</v>
      </c>
      <c r="AF56" s="113">
        <f>Valores!$C$11</f>
        <v>36428</v>
      </c>
      <c r="AG56" s="113">
        <f>Valores!$C$59</f>
        <v>25000</v>
      </c>
      <c r="AH56" s="113">
        <f t="shared" si="1"/>
        <v>61428</v>
      </c>
      <c r="AI56" s="113">
        <f>AE56*Valores!$C$39</f>
        <v>-94461.360400000005</v>
      </c>
      <c r="AJ56" s="113">
        <f>IF(AE56&lt;Valores!$E$40,-0.02,IF(AE56&lt;Valores!$F$40,-0.03,-0.04))*AE56</f>
        <v>-25762.189200000001</v>
      </c>
      <c r="AK56" s="113">
        <f>AE56*Valores!$C$42</f>
        <v>-47230.680200000003</v>
      </c>
      <c r="AL56" s="113">
        <f>Valores!$C$56</f>
        <v>-1270.1600000000001</v>
      </c>
      <c r="AM56" s="113">
        <f>IF($F$5=0,Valores!$C$57,(Valores!$C$57+$F$5*(Valores!$C$57)))</f>
        <v>-7026</v>
      </c>
      <c r="AN56" s="113">
        <f t="shared" si="6"/>
        <v>744417.25020000001</v>
      </c>
      <c r="AO56" s="113">
        <f t="shared" si="0"/>
        <v>-94461.360400000005</v>
      </c>
      <c r="AP56" s="113">
        <f t="shared" si="7"/>
        <v>-25762.189200000001</v>
      </c>
      <c r="AQ56" s="113">
        <f>AE56*Valores!$C$43</f>
        <v>-23185.970280000001</v>
      </c>
      <c r="AR56" s="113">
        <f>AE56*Valores!$C$44</f>
        <v>-2576.2189200000003</v>
      </c>
      <c r="AS56" s="113">
        <f t="shared" si="2"/>
        <v>774181.90119999996</v>
      </c>
      <c r="AT56" s="113">
        <f>AE56*Valores!$C$46</f>
        <v>137398.34239999999</v>
      </c>
      <c r="AU56" s="113">
        <f>AE56*Valores!$C$47</f>
        <v>60111.774800000007</v>
      </c>
      <c r="AV56" s="113">
        <f>AE56*Valores!$C$48</f>
        <v>8587.3963999999996</v>
      </c>
      <c r="AW56" s="113">
        <f>AE56*Valores!$C$50</f>
        <v>30055.887400000003</v>
      </c>
      <c r="AX56" s="113">
        <f>AE56*Valores!$C$52</f>
        <v>46371.940560000003</v>
      </c>
      <c r="AY56" s="113">
        <f>AE56*Valores!$C$51</f>
        <v>5152.4378400000005</v>
      </c>
      <c r="AZ56" s="114"/>
      <c r="BA56" s="114">
        <v>25</v>
      </c>
      <c r="BB56" s="111" t="s">
        <v>4</v>
      </c>
    </row>
    <row r="57" spans="1:54" s="100" customFormat="1" ht="11.25" customHeight="1" x14ac:dyDescent="0.15">
      <c r="A57" s="111" t="s">
        <v>169</v>
      </c>
      <c r="B57" s="111">
        <v>1</v>
      </c>
      <c r="C57" s="114">
        <v>50</v>
      </c>
      <c r="D57" s="112" t="s">
        <v>170</v>
      </c>
      <c r="E57" s="169">
        <v>93</v>
      </c>
      <c r="F57" s="113">
        <f>ROUND(E57*Valores!$C$2,2)</f>
        <v>9095.9599999999991</v>
      </c>
      <c r="G57" s="169">
        <v>2547</v>
      </c>
      <c r="H57" s="113">
        <f>ROUND(G57*Valores!$C$2,2)</f>
        <v>249111.88</v>
      </c>
      <c r="I57" s="169">
        <v>0</v>
      </c>
      <c r="J57" s="113">
        <f>ROUND(I57*Valores!$C$2,2)</f>
        <v>0</v>
      </c>
      <c r="K57" s="169">
        <v>0</v>
      </c>
      <c r="L57" s="113">
        <f>ROUND(K57*Valores!$C$2,2)</f>
        <v>0</v>
      </c>
      <c r="M57" s="113">
        <f>ROUND(IF($H$2=0,IF(AND(A57&lt;&gt;"13-930",A57&lt;&gt;"13-940"),(SUM(F57,H57,J57,L57,W57,S57,Q57)*Valores!$C$4),0),0),2)</f>
        <v>85350.51</v>
      </c>
      <c r="N57" s="113">
        <f t="shared" si="3"/>
        <v>0</v>
      </c>
      <c r="O57" s="113">
        <f>Valores!C$83</f>
        <v>253744.8</v>
      </c>
      <c r="P57" s="113">
        <f>Valores!$D$5</f>
        <v>49998.43</v>
      </c>
      <c r="Q57" s="113">
        <f>IF($F$4="NO",Valores!$C$24,Valores!$C$24/2)</f>
        <v>36672.879999999997</v>
      </c>
      <c r="R57" s="113">
        <f>Valores!$C$8</f>
        <v>46521.33</v>
      </c>
      <c r="S57" s="113">
        <f t="shared" si="8"/>
        <v>46521.33</v>
      </c>
      <c r="T57" s="113">
        <v>0</v>
      </c>
      <c r="U57" s="113">
        <v>0</v>
      </c>
      <c r="V57" s="169">
        <v>0</v>
      </c>
      <c r="W57" s="113">
        <f>ROUND(V57*Valores!$C$2,2)</f>
        <v>0</v>
      </c>
      <c r="X57" s="113">
        <v>0</v>
      </c>
      <c r="Y57" s="188">
        <v>0</v>
      </c>
      <c r="Z57" s="113">
        <f t="shared" si="4"/>
        <v>0</v>
      </c>
      <c r="AA57" s="169">
        <v>0</v>
      </c>
      <c r="AB57" s="113">
        <f>ROUND(AA57*Valores!$C$2,2)</f>
        <v>0</v>
      </c>
      <c r="AC57" s="113">
        <f>ROUND(IF($F$4="NO",Valores!$C$32,Valores!$C$32/2),2)</f>
        <v>23377.77</v>
      </c>
      <c r="AD57" s="113">
        <f>SUM(F57,H57,J57,L57,M57,N57,O57,P57,Q57,S57,T57,U57,W57,X57,Z57,AB57,AC57)*Valores!$C$58</f>
        <v>75387.356</v>
      </c>
      <c r="AE57" s="113">
        <f t="shared" si="5"/>
        <v>829260.91599999997</v>
      </c>
      <c r="AF57" s="113">
        <f>Valores!$C$11</f>
        <v>36428</v>
      </c>
      <c r="AG57" s="113">
        <f>Valores!$C$59</f>
        <v>25000</v>
      </c>
      <c r="AH57" s="113">
        <f t="shared" si="1"/>
        <v>61428</v>
      </c>
      <c r="AI57" s="113">
        <f>AE57*Valores!$C$39</f>
        <v>-91218.700759999992</v>
      </c>
      <c r="AJ57" s="113">
        <f>IF(AE57&lt;Valores!$E$40,-0.02,IF(AE57&lt;Valores!$F$40,-0.03,-0.04))*AE57</f>
        <v>-24877.82748</v>
      </c>
      <c r="AK57" s="113">
        <f>AE57*Valores!$C$42</f>
        <v>-45609.350379999996</v>
      </c>
      <c r="AL57" s="113">
        <f>Valores!$C$56</f>
        <v>-1270.1600000000001</v>
      </c>
      <c r="AM57" s="113">
        <f>IF($F$5=0,Valores!$C$57,(Valores!$C$57+$F$5*(Valores!$C$57)))</f>
        <v>-7026</v>
      </c>
      <c r="AN57" s="113">
        <f t="shared" si="6"/>
        <v>720686.87737999996</v>
      </c>
      <c r="AO57" s="113">
        <f t="shared" si="0"/>
        <v>-91218.700759999992</v>
      </c>
      <c r="AP57" s="113">
        <f t="shared" si="7"/>
        <v>-24877.82748</v>
      </c>
      <c r="AQ57" s="113">
        <f>AE57*Valores!$C$43</f>
        <v>-22390.044731999998</v>
      </c>
      <c r="AR57" s="113">
        <f>AE57*Valores!$C$44</f>
        <v>-2487.7827480000001</v>
      </c>
      <c r="AS57" s="113">
        <f t="shared" si="2"/>
        <v>749714.56027999998</v>
      </c>
      <c r="AT57" s="113">
        <f>AE57*Valores!$C$46</f>
        <v>132681.74656</v>
      </c>
      <c r="AU57" s="113">
        <f>AE57*Valores!$C$47</f>
        <v>58048.26412</v>
      </c>
      <c r="AV57" s="113">
        <f>AE57*Valores!$C$48</f>
        <v>8292.60916</v>
      </c>
      <c r="AW57" s="113">
        <f>AE57*Valores!$C$50</f>
        <v>29024.13206</v>
      </c>
      <c r="AX57" s="113">
        <f>AE57*Valores!$C$52</f>
        <v>44780.089463999997</v>
      </c>
      <c r="AY57" s="113">
        <f>AE57*Valores!$C$51</f>
        <v>4975.5654960000002</v>
      </c>
      <c r="AZ57" s="114"/>
      <c r="BA57" s="114">
        <v>30</v>
      </c>
      <c r="BB57" s="111" t="s">
        <v>4</v>
      </c>
    </row>
    <row r="58" spans="1:54" s="100" customFormat="1" ht="11.25" customHeight="1" x14ac:dyDescent="0.15">
      <c r="A58" s="111" t="s">
        <v>171</v>
      </c>
      <c r="B58" s="111">
        <v>1</v>
      </c>
      <c r="C58" s="114">
        <v>51</v>
      </c>
      <c r="D58" s="112" t="s">
        <v>172</v>
      </c>
      <c r="E58" s="169">
        <v>89</v>
      </c>
      <c r="F58" s="113">
        <f>ROUND(E58*Valores!$C$2,2)</f>
        <v>8704.73</v>
      </c>
      <c r="G58" s="169">
        <v>2551</v>
      </c>
      <c r="H58" s="113">
        <f>ROUND(G58*Valores!$C$2,2)</f>
        <v>249503.11</v>
      </c>
      <c r="I58" s="169">
        <v>0</v>
      </c>
      <c r="J58" s="113">
        <f>ROUND(I58*Valores!$C$2,2)</f>
        <v>0</v>
      </c>
      <c r="K58" s="169">
        <v>0</v>
      </c>
      <c r="L58" s="113">
        <f>ROUND(K58*Valores!$C$2,2)</f>
        <v>0</v>
      </c>
      <c r="M58" s="113">
        <f>ROUND(IF($H$2=0,IF(AND(A58&lt;&gt;"13-930",A58&lt;&gt;"13-940"),(SUM(F58,H58,J58,L58,W58,S58,Q58)*Valores!$C$4),0),0),2)</f>
        <v>85350.51</v>
      </c>
      <c r="N58" s="113">
        <f t="shared" si="3"/>
        <v>0</v>
      </c>
      <c r="O58" s="113">
        <f>Valores!C$83</f>
        <v>253744.8</v>
      </c>
      <c r="P58" s="113">
        <f>Valores!$D$5</f>
        <v>49998.43</v>
      </c>
      <c r="Q58" s="113">
        <f>IF($F$4="NO",Valores!$C$24,Valores!$C$24/2)</f>
        <v>36672.879999999997</v>
      </c>
      <c r="R58" s="113">
        <f>Valores!$C$8</f>
        <v>46521.33</v>
      </c>
      <c r="S58" s="113">
        <f t="shared" si="8"/>
        <v>46521.33</v>
      </c>
      <c r="T58" s="113">
        <v>0</v>
      </c>
      <c r="U58" s="113">
        <v>0</v>
      </c>
      <c r="V58" s="169">
        <v>0</v>
      </c>
      <c r="W58" s="113">
        <f>ROUND(V58*Valores!$C$2,2)</f>
        <v>0</v>
      </c>
      <c r="X58" s="113">
        <v>0</v>
      </c>
      <c r="Y58" s="188">
        <v>0</v>
      </c>
      <c r="Z58" s="113">
        <f t="shared" si="4"/>
        <v>0</v>
      </c>
      <c r="AA58" s="169">
        <v>94</v>
      </c>
      <c r="AB58" s="113">
        <f>ROUND(AA58*Valores!$C$2,2)</f>
        <v>9193.76</v>
      </c>
      <c r="AC58" s="113">
        <f>ROUND(IF($F$4="NO",Valores!$C$32,Valores!$C$32/2),2)</f>
        <v>23377.77</v>
      </c>
      <c r="AD58" s="113">
        <f>SUM(F58,H58,J58,L58,M58,N58,O58,P58,Q58,S58,T58,U58,W58,X58,Z58,AB58,AC58)*Valores!$C$58</f>
        <v>76306.732000000004</v>
      </c>
      <c r="AE58" s="113">
        <f t="shared" si="5"/>
        <v>839374.05199999991</v>
      </c>
      <c r="AF58" s="113">
        <f>Valores!$C$11</f>
        <v>36428</v>
      </c>
      <c r="AG58" s="113">
        <f>Valores!$C$59</f>
        <v>25000</v>
      </c>
      <c r="AH58" s="113">
        <f t="shared" si="1"/>
        <v>61428</v>
      </c>
      <c r="AI58" s="113">
        <f>AE58*Valores!$C$39</f>
        <v>-92331.145719999986</v>
      </c>
      <c r="AJ58" s="113">
        <f>IF(AE58&lt;Valores!$E$40,-0.02,IF(AE58&lt;Valores!$F$40,-0.03,-0.04))*AE58</f>
        <v>-25181.221559999998</v>
      </c>
      <c r="AK58" s="113">
        <f>AE58*Valores!$C$42</f>
        <v>-46165.572859999993</v>
      </c>
      <c r="AL58" s="113">
        <f>Valores!$C$56</f>
        <v>-1270.1600000000001</v>
      </c>
      <c r="AM58" s="113">
        <f>IF($F$5=0,Valores!$C$57,(Valores!$C$57+$F$5*(Valores!$C$57)))</f>
        <v>-7026</v>
      </c>
      <c r="AN58" s="113">
        <f t="shared" si="6"/>
        <v>728827.95185999991</v>
      </c>
      <c r="AO58" s="113">
        <f t="shared" si="0"/>
        <v>-92331.145719999986</v>
      </c>
      <c r="AP58" s="113">
        <f t="shared" si="7"/>
        <v>-25181.221559999998</v>
      </c>
      <c r="AQ58" s="113">
        <f>AE58*Valores!$C$43</f>
        <v>-22663.099403999997</v>
      </c>
      <c r="AR58" s="113">
        <f>AE58*Valores!$C$44</f>
        <v>-2518.1221559999999</v>
      </c>
      <c r="AS58" s="113">
        <f t="shared" si="2"/>
        <v>758108.46315999993</v>
      </c>
      <c r="AT58" s="113">
        <f>AE58*Valores!$C$46</f>
        <v>134299.84831999999</v>
      </c>
      <c r="AU58" s="113">
        <f>AE58*Valores!$C$47</f>
        <v>58756.183639999996</v>
      </c>
      <c r="AV58" s="113">
        <f>AE58*Valores!$C$48</f>
        <v>8393.7405199999994</v>
      </c>
      <c r="AW58" s="113">
        <f>AE58*Valores!$C$50</f>
        <v>29378.091819999998</v>
      </c>
      <c r="AX58" s="113">
        <f>AE58*Valores!$C$52</f>
        <v>45326.198807999994</v>
      </c>
      <c r="AY58" s="113">
        <f>AE58*Valores!$C$51</f>
        <v>5036.2443119999998</v>
      </c>
      <c r="AZ58" s="114"/>
      <c r="BA58" s="114">
        <v>25</v>
      </c>
      <c r="BB58" s="111" t="s">
        <v>4</v>
      </c>
    </row>
    <row r="59" spans="1:54" s="100" customFormat="1" ht="11.25" customHeight="1" x14ac:dyDescent="0.15">
      <c r="A59" s="111" t="s">
        <v>173</v>
      </c>
      <c r="B59" s="111">
        <v>1</v>
      </c>
      <c r="C59" s="114">
        <v>52</v>
      </c>
      <c r="D59" s="112" t="s">
        <v>174</v>
      </c>
      <c r="E59" s="169">
        <v>89</v>
      </c>
      <c r="F59" s="113">
        <f>ROUND(E59*Valores!$C$2,2)</f>
        <v>8704.73</v>
      </c>
      <c r="G59" s="169">
        <v>2251</v>
      </c>
      <c r="H59" s="113">
        <f>ROUND(G59*Valores!$C$2,2)</f>
        <v>220161.31</v>
      </c>
      <c r="I59" s="169">
        <v>0</v>
      </c>
      <c r="J59" s="113">
        <f>ROUND(I59*Valores!$C$2,2)</f>
        <v>0</v>
      </c>
      <c r="K59" s="169">
        <v>0</v>
      </c>
      <c r="L59" s="113">
        <f>ROUND(K59*Valores!$C$2,2)</f>
        <v>0</v>
      </c>
      <c r="M59" s="113">
        <f>ROUND(IF($H$2=0,IF(AND(A59&lt;&gt;"13-930",A59&lt;&gt;"13-940"),(SUM(F59,H59,J59,L59,W59,S59,Q59)*Valores!$C$4),0),0),2)</f>
        <v>78015.06</v>
      </c>
      <c r="N59" s="113">
        <f t="shared" si="3"/>
        <v>0</v>
      </c>
      <c r="O59" s="113">
        <f>Valores!C$83</f>
        <v>253744.8</v>
      </c>
      <c r="P59" s="113">
        <f>Valores!$D$5</f>
        <v>49998.43</v>
      </c>
      <c r="Q59" s="113">
        <f>IF($F$4="NO",Valores!$C$24,Valores!$C$24/2)</f>
        <v>36672.879999999997</v>
      </c>
      <c r="R59" s="113">
        <f>Valores!$C$8</f>
        <v>46521.33</v>
      </c>
      <c r="S59" s="113">
        <f t="shared" si="8"/>
        <v>46521.33</v>
      </c>
      <c r="T59" s="113">
        <v>0</v>
      </c>
      <c r="U59" s="113">
        <v>0</v>
      </c>
      <c r="V59" s="169">
        <v>0</v>
      </c>
      <c r="W59" s="113">
        <f>ROUND(V59*Valores!$C$2,2)</f>
        <v>0</v>
      </c>
      <c r="X59" s="113">
        <v>0</v>
      </c>
      <c r="Y59" s="188">
        <v>0</v>
      </c>
      <c r="Z59" s="113">
        <f t="shared" si="4"/>
        <v>0</v>
      </c>
      <c r="AA59" s="169">
        <v>0</v>
      </c>
      <c r="AB59" s="113">
        <f>ROUND(AA59*Valores!$C$2,2)</f>
        <v>0</v>
      </c>
      <c r="AC59" s="113">
        <f>ROUND(IF($F$4="NO",Valores!$C$32,Valores!$C$32/2),2)</f>
        <v>23377.77</v>
      </c>
      <c r="AD59" s="113">
        <f>SUM(F59,H59,J59,L59,M59,N59,O59,P59,Q59,S59,T59,U59,W59,X59,Z59,AB59,AC59)*Valores!$C$58</f>
        <v>71719.630999999994</v>
      </c>
      <c r="AE59" s="113">
        <f t="shared" si="5"/>
        <v>788915.94099999988</v>
      </c>
      <c r="AF59" s="113">
        <f>Valores!$C$11</f>
        <v>36428</v>
      </c>
      <c r="AG59" s="113">
        <f>Valores!$C$59</f>
        <v>25000</v>
      </c>
      <c r="AH59" s="113">
        <f t="shared" si="1"/>
        <v>61428</v>
      </c>
      <c r="AI59" s="113">
        <f>AE59*Valores!$C$39</f>
        <v>-86780.75350999998</v>
      </c>
      <c r="AJ59" s="113">
        <f>IF(AE59&lt;Valores!$E$40,-0.02,IF(AE59&lt;Valores!$F$40,-0.03,-0.04))*AE59</f>
        <v>-23667.478229999997</v>
      </c>
      <c r="AK59" s="113">
        <f>AE59*Valores!$C$42</f>
        <v>-43390.37675499999</v>
      </c>
      <c r="AL59" s="113">
        <f>Valores!$C$56</f>
        <v>-1270.1600000000001</v>
      </c>
      <c r="AM59" s="113">
        <f>IF($F$5=0,Valores!$C$57,(Valores!$C$57+$F$5*(Valores!$C$57)))</f>
        <v>-7026</v>
      </c>
      <c r="AN59" s="113">
        <f t="shared" si="6"/>
        <v>688209.17250499991</v>
      </c>
      <c r="AO59" s="113">
        <f t="shared" si="0"/>
        <v>-86780.75350999998</v>
      </c>
      <c r="AP59" s="113">
        <f t="shared" si="7"/>
        <v>-23667.478229999997</v>
      </c>
      <c r="AQ59" s="113">
        <f>AE59*Valores!$C$43</f>
        <v>-21300.730406999995</v>
      </c>
      <c r="AR59" s="113">
        <f>AE59*Valores!$C$44</f>
        <v>-2366.7478229999997</v>
      </c>
      <c r="AS59" s="113">
        <f t="shared" si="2"/>
        <v>716228.23102999991</v>
      </c>
      <c r="AT59" s="113">
        <f>AE59*Valores!$C$46</f>
        <v>126226.55055999999</v>
      </c>
      <c r="AU59" s="113">
        <f>AE59*Valores!$C$47</f>
        <v>55224.115869999994</v>
      </c>
      <c r="AV59" s="113">
        <f>AE59*Valores!$C$48</f>
        <v>7889.1594099999993</v>
      </c>
      <c r="AW59" s="113">
        <f>AE59*Valores!$C$50</f>
        <v>27612.057934999997</v>
      </c>
      <c r="AX59" s="113">
        <f>AE59*Valores!$C$52</f>
        <v>42601.460813999991</v>
      </c>
      <c r="AY59" s="113">
        <f>AE59*Valores!$C$51</f>
        <v>4733.4956459999994</v>
      </c>
      <c r="AZ59" s="114"/>
      <c r="BA59" s="114">
        <v>30</v>
      </c>
      <c r="BB59" s="111" t="s">
        <v>4</v>
      </c>
    </row>
    <row r="60" spans="1:54" s="100" customFormat="1" ht="11.25" customHeight="1" x14ac:dyDescent="0.15">
      <c r="A60" s="111" t="s">
        <v>175</v>
      </c>
      <c r="B60" s="111">
        <v>1</v>
      </c>
      <c r="C60" s="114">
        <v>53</v>
      </c>
      <c r="D60" s="112" t="s">
        <v>176</v>
      </c>
      <c r="E60" s="169">
        <v>85</v>
      </c>
      <c r="F60" s="113">
        <f>ROUND(E60*Valores!$C$2,2)</f>
        <v>8313.51</v>
      </c>
      <c r="G60" s="169">
        <v>2255</v>
      </c>
      <c r="H60" s="113">
        <f>ROUND(G60*Valores!$C$2,2)</f>
        <v>220552.53</v>
      </c>
      <c r="I60" s="169">
        <v>0</v>
      </c>
      <c r="J60" s="113">
        <f>ROUND(I60*Valores!$C$2,2)</f>
        <v>0</v>
      </c>
      <c r="K60" s="169">
        <v>0</v>
      </c>
      <c r="L60" s="113">
        <f>ROUND(K60*Valores!$C$2,2)</f>
        <v>0</v>
      </c>
      <c r="M60" s="113">
        <f>ROUND(IF($H$2=0,IF(AND(A60&lt;&gt;"13-930",A60&lt;&gt;"13-940"),(SUM(F60,H60,J60,L60,W60,S60,Q60)*Valores!$C$4),0),0),2)</f>
        <v>78015.06</v>
      </c>
      <c r="N60" s="113">
        <f t="shared" si="3"/>
        <v>0</v>
      </c>
      <c r="O60" s="113">
        <f>Valores!C$83</f>
        <v>253744.8</v>
      </c>
      <c r="P60" s="113">
        <f>Valores!$D$5</f>
        <v>49998.43</v>
      </c>
      <c r="Q60" s="113">
        <f>IF($F$4="NO",Valores!$C$24,Valores!$C$24/2)</f>
        <v>36672.879999999997</v>
      </c>
      <c r="R60" s="113">
        <f>Valores!$C$8</f>
        <v>46521.33</v>
      </c>
      <c r="S60" s="113">
        <f t="shared" si="8"/>
        <v>46521.33</v>
      </c>
      <c r="T60" s="113">
        <v>0</v>
      </c>
      <c r="U60" s="113">
        <v>0</v>
      </c>
      <c r="V60" s="169">
        <v>0</v>
      </c>
      <c r="W60" s="113">
        <f>ROUND(V60*Valores!$C$2,2)</f>
        <v>0</v>
      </c>
      <c r="X60" s="113">
        <v>0</v>
      </c>
      <c r="Y60" s="188">
        <v>0</v>
      </c>
      <c r="Z60" s="113">
        <f t="shared" si="4"/>
        <v>0</v>
      </c>
      <c r="AA60" s="169">
        <v>94</v>
      </c>
      <c r="AB60" s="113">
        <f>ROUND(AA60*Valores!$C$2,2)</f>
        <v>9193.76</v>
      </c>
      <c r="AC60" s="113">
        <f>ROUND(IF($F$4="NO",Valores!$C$32,Valores!$C$32/2),2)</f>
        <v>23377.77</v>
      </c>
      <c r="AD60" s="113">
        <f>SUM(F60,H60,J60,L60,M60,N60,O60,P60,Q60,S60,T60,U60,W60,X60,Z60,AB60,AC60)*Valores!$C$58</f>
        <v>72639.006999999998</v>
      </c>
      <c r="AE60" s="113">
        <f t="shared" si="5"/>
        <v>799029.07699999993</v>
      </c>
      <c r="AF60" s="113">
        <f>Valores!$C$11</f>
        <v>36428</v>
      </c>
      <c r="AG60" s="113">
        <f>Valores!$C$59</f>
        <v>25000</v>
      </c>
      <c r="AH60" s="113">
        <f t="shared" si="1"/>
        <v>61428</v>
      </c>
      <c r="AI60" s="113">
        <f>AE60*Valores!$C$39</f>
        <v>-87893.198469999988</v>
      </c>
      <c r="AJ60" s="113">
        <f>IF(AE60&lt;Valores!$E$40,-0.02,IF(AE60&lt;Valores!$F$40,-0.03,-0.04))*AE60</f>
        <v>-23970.872309999999</v>
      </c>
      <c r="AK60" s="113">
        <f>AE60*Valores!$C$42</f>
        <v>-43946.599234999994</v>
      </c>
      <c r="AL60" s="113">
        <f>Valores!$C$56</f>
        <v>-1270.1600000000001</v>
      </c>
      <c r="AM60" s="113">
        <f>IF($F$5=0,Valores!$C$57,(Valores!$C$57+$F$5*(Valores!$C$57)))</f>
        <v>-7026</v>
      </c>
      <c r="AN60" s="113">
        <f t="shared" si="6"/>
        <v>696350.24698499998</v>
      </c>
      <c r="AO60" s="113">
        <f t="shared" si="0"/>
        <v>-87893.198469999988</v>
      </c>
      <c r="AP60" s="113">
        <f t="shared" si="7"/>
        <v>-23970.872309999999</v>
      </c>
      <c r="AQ60" s="113">
        <f>AE60*Valores!$C$43</f>
        <v>-21573.785078999997</v>
      </c>
      <c r="AR60" s="113">
        <f>AE60*Valores!$C$44</f>
        <v>-2397.087231</v>
      </c>
      <c r="AS60" s="113">
        <f t="shared" si="2"/>
        <v>724622.13390999998</v>
      </c>
      <c r="AT60" s="113">
        <f>AE60*Valores!$C$46</f>
        <v>127844.65231999999</v>
      </c>
      <c r="AU60" s="113">
        <f>AE60*Valores!$C$47</f>
        <v>55932.035389999997</v>
      </c>
      <c r="AV60" s="113">
        <f>AE60*Valores!$C$48</f>
        <v>7990.2907699999996</v>
      </c>
      <c r="AW60" s="113">
        <f>AE60*Valores!$C$50</f>
        <v>27966.017694999999</v>
      </c>
      <c r="AX60" s="113">
        <f>AE60*Valores!$C$52</f>
        <v>43147.570157999995</v>
      </c>
      <c r="AY60" s="113">
        <f>AE60*Valores!$C$51</f>
        <v>4794.1744619999999</v>
      </c>
      <c r="AZ60" s="114"/>
      <c r="BA60" s="114">
        <v>25</v>
      </c>
      <c r="BB60" s="111" t="s">
        <v>4</v>
      </c>
    </row>
    <row r="61" spans="1:54" s="100" customFormat="1" ht="11.25" customHeight="1" x14ac:dyDescent="0.15">
      <c r="A61" s="111" t="s">
        <v>177</v>
      </c>
      <c r="B61" s="111">
        <v>1</v>
      </c>
      <c r="C61" s="114">
        <v>54</v>
      </c>
      <c r="D61" s="112" t="s">
        <v>178</v>
      </c>
      <c r="E61" s="169">
        <v>100</v>
      </c>
      <c r="F61" s="113">
        <f>ROUND(E61*Valores!$C$2,2)</f>
        <v>9780.6</v>
      </c>
      <c r="G61" s="169">
        <v>3180</v>
      </c>
      <c r="H61" s="113">
        <f>ROUND(G61*Valores!$C$2,2)</f>
        <v>311023.08</v>
      </c>
      <c r="I61" s="169">
        <v>0</v>
      </c>
      <c r="J61" s="113">
        <f>ROUND(I61*Valores!$C$2,2)</f>
        <v>0</v>
      </c>
      <c r="K61" s="169">
        <v>0</v>
      </c>
      <c r="L61" s="113">
        <f>ROUND(K61*Valores!$C$2,2)</f>
        <v>0</v>
      </c>
      <c r="M61" s="113">
        <f>ROUND(IF($H$2=0,IF(AND(A61&lt;&gt;"13-930",A61&lt;&gt;"13-940"),(SUM(F61,H61,J61,L61,W61,S61,Q61)*Valores!$C$4),0),0),2)</f>
        <v>102955.34</v>
      </c>
      <c r="N61" s="113">
        <f t="shared" si="3"/>
        <v>0</v>
      </c>
      <c r="O61" s="113">
        <f>Valores!C$83</f>
        <v>253744.8</v>
      </c>
      <c r="P61" s="113">
        <f>Valores!$D$5</f>
        <v>49998.43</v>
      </c>
      <c r="Q61" s="113">
        <f>IF($F$4="NO",Valores!$C$27,Valores!$C$27/2)</f>
        <v>44496.34</v>
      </c>
      <c r="R61" s="113">
        <f>Valores!$C$8</f>
        <v>46521.33</v>
      </c>
      <c r="S61" s="113">
        <f t="shared" si="8"/>
        <v>46521.33</v>
      </c>
      <c r="T61" s="113">
        <v>0</v>
      </c>
      <c r="U61" s="113">
        <v>0</v>
      </c>
      <c r="V61" s="169">
        <v>0</v>
      </c>
      <c r="W61" s="113">
        <f>ROUND(V61*Valores!$C$2,2)</f>
        <v>0</v>
      </c>
      <c r="X61" s="113">
        <v>0</v>
      </c>
      <c r="Y61" s="188">
        <v>0</v>
      </c>
      <c r="Z61" s="113">
        <f t="shared" si="4"/>
        <v>0</v>
      </c>
      <c r="AA61" s="169">
        <v>0</v>
      </c>
      <c r="AB61" s="113">
        <f>ROUND(AA61*Valores!$C$2,2)</f>
        <v>0</v>
      </c>
      <c r="AC61" s="113">
        <f>ROUND(IF($F$4="NO",Valores!$C$32,Valores!$C$32/2),2)</f>
        <v>23377.77</v>
      </c>
      <c r="AD61" s="113">
        <f>SUM(F61,H61,J61,L61,M61,N61,O61,P61,Q61,S61,T61,U61,W61,X61,Z61,AB61,AC61)*Valores!$C$58</f>
        <v>84189.769000000015</v>
      </c>
      <c r="AE61" s="113">
        <f t="shared" si="5"/>
        <v>926087.45900000003</v>
      </c>
      <c r="AF61" s="113">
        <f>Valores!$C$12</f>
        <v>72856</v>
      </c>
      <c r="AG61" s="113">
        <f>Valores!$C$59</f>
        <v>25000</v>
      </c>
      <c r="AH61" s="113">
        <f t="shared" si="1"/>
        <v>97856</v>
      </c>
      <c r="AI61" s="113">
        <f>AE61*Valores!$C$39</f>
        <v>-101869.62049</v>
      </c>
      <c r="AJ61" s="113">
        <f>IF(AE61&lt;Valores!$E$40,-0.02,IF(AE61&lt;Valores!$F$40,-0.03,-0.04))*AE61</f>
        <v>-27782.623769999998</v>
      </c>
      <c r="AK61" s="113">
        <f>AE61*Valores!$C$42</f>
        <v>-50934.810245000001</v>
      </c>
      <c r="AL61" s="113">
        <f>Valores!$C$56</f>
        <v>-1270.1600000000001</v>
      </c>
      <c r="AM61" s="113">
        <f>IF($F$5=0,Valores!$C$57,(Valores!$C$57+$F$5*(Valores!$C$57)))</f>
        <v>-7026</v>
      </c>
      <c r="AN61" s="113">
        <f t="shared" si="6"/>
        <v>835060.24449499999</v>
      </c>
      <c r="AO61" s="113">
        <f t="shared" si="0"/>
        <v>-101869.62049</v>
      </c>
      <c r="AP61" s="113">
        <f t="shared" si="7"/>
        <v>-27782.623769999998</v>
      </c>
      <c r="AQ61" s="113">
        <f>AE61*Valores!$C$43</f>
        <v>-25004.361392999999</v>
      </c>
      <c r="AR61" s="113">
        <f>AE61*Valores!$C$44</f>
        <v>-2778.262377</v>
      </c>
      <c r="AS61" s="113">
        <f t="shared" si="2"/>
        <v>866508.59097000002</v>
      </c>
      <c r="AT61" s="113">
        <f>AE61*Valores!$C$46</f>
        <v>148173.99344000002</v>
      </c>
      <c r="AU61" s="113">
        <f>AE61*Valores!$C$47</f>
        <v>64826.122130000011</v>
      </c>
      <c r="AV61" s="113">
        <f>AE61*Valores!$C$48</f>
        <v>9260.8745900000013</v>
      </c>
      <c r="AW61" s="113">
        <f>AE61*Valores!$C$50</f>
        <v>32413.061065000005</v>
      </c>
      <c r="AX61" s="113">
        <f>AE61*Valores!$C$52</f>
        <v>50008.722785999998</v>
      </c>
      <c r="AY61" s="113">
        <f>AE61*Valores!$C$51</f>
        <v>5556.524754</v>
      </c>
      <c r="AZ61" s="114"/>
      <c r="BA61" s="114"/>
      <c r="BB61" s="111" t="s">
        <v>4</v>
      </c>
    </row>
    <row r="62" spans="1:54" s="100" customFormat="1" ht="11.25" customHeight="1" x14ac:dyDescent="0.15">
      <c r="A62" s="111" t="s">
        <v>179</v>
      </c>
      <c r="B62" s="111">
        <v>1</v>
      </c>
      <c r="C62" s="114">
        <v>55</v>
      </c>
      <c r="D62" s="112" t="s">
        <v>180</v>
      </c>
      <c r="E62" s="169">
        <v>83</v>
      </c>
      <c r="F62" s="113">
        <f>ROUND(E62*Valores!$C$2,2)</f>
        <v>8117.9</v>
      </c>
      <c r="G62" s="169">
        <v>2352</v>
      </c>
      <c r="H62" s="113">
        <f>ROUND(G62*Valores!$C$2,2)</f>
        <v>230039.71</v>
      </c>
      <c r="I62" s="169">
        <v>0</v>
      </c>
      <c r="J62" s="113">
        <f>ROUND(I62*Valores!$C$2,2)</f>
        <v>0</v>
      </c>
      <c r="K62" s="169">
        <v>0</v>
      </c>
      <c r="L62" s="113">
        <f>ROUND(K62*Valores!$C$2,2)</f>
        <v>0</v>
      </c>
      <c r="M62" s="113">
        <f>ROUND(IF($H$2=0,IF(AND(A62&lt;&gt;"13-930",A62&lt;&gt;"13-940"),(SUM(F62,H62,J62,L62,W62,S62,Q62)*Valores!$C$4),0),0),2)</f>
        <v>80337.960000000006</v>
      </c>
      <c r="N62" s="113">
        <f t="shared" si="3"/>
        <v>0</v>
      </c>
      <c r="O62" s="113">
        <f>Valores!C$83</f>
        <v>253744.8</v>
      </c>
      <c r="P62" s="113">
        <f>Valores!$D$5</f>
        <v>49998.43</v>
      </c>
      <c r="Q62" s="113">
        <f>IF($F$4="NO",Valores!$C$24,Valores!$C$24/2)</f>
        <v>36672.879999999997</v>
      </c>
      <c r="R62" s="113">
        <f>Valores!$C$8</f>
        <v>46521.33</v>
      </c>
      <c r="S62" s="113">
        <f t="shared" si="8"/>
        <v>46521.33</v>
      </c>
      <c r="T62" s="113">
        <v>0</v>
      </c>
      <c r="U62" s="113">
        <v>0</v>
      </c>
      <c r="V62" s="169">
        <v>0</v>
      </c>
      <c r="W62" s="113">
        <f>ROUND(V62*Valores!$C$2,2)</f>
        <v>0</v>
      </c>
      <c r="X62" s="113">
        <v>0</v>
      </c>
      <c r="Y62" s="188">
        <v>0</v>
      </c>
      <c r="Z62" s="113">
        <f t="shared" si="4"/>
        <v>0</v>
      </c>
      <c r="AA62" s="169">
        <v>0</v>
      </c>
      <c r="AB62" s="113">
        <f>ROUND(AA62*Valores!$C$2,2)</f>
        <v>0</v>
      </c>
      <c r="AC62" s="113">
        <f>ROUND(IF($F$4="NO",Valores!$C$32,Valores!$C$32/2),2)</f>
        <v>23377.77</v>
      </c>
      <c r="AD62" s="113">
        <f>SUM(F62,H62,J62,L62,M62,N62,O62,P62,Q62,S62,T62,U62,W62,X62,Z62,AB62,AC62)*Valores!$C$58</f>
        <v>72881.078000000009</v>
      </c>
      <c r="AE62" s="113">
        <f t="shared" si="5"/>
        <v>801691.85800000001</v>
      </c>
      <c r="AF62" s="113">
        <f>Valores!$C$11</f>
        <v>36428</v>
      </c>
      <c r="AG62" s="113">
        <f>Valores!$C$59</f>
        <v>25000</v>
      </c>
      <c r="AH62" s="113">
        <f t="shared" si="1"/>
        <v>61428</v>
      </c>
      <c r="AI62" s="113">
        <f>AE62*Valores!$C$39</f>
        <v>-88186.104380000004</v>
      </c>
      <c r="AJ62" s="113">
        <f>IF(AE62&lt;Valores!$E$40,-0.02,IF(AE62&lt;Valores!$F$40,-0.03,-0.04))*AE62</f>
        <v>-24050.755740000001</v>
      </c>
      <c r="AK62" s="113">
        <f>AE62*Valores!$C$42</f>
        <v>-44093.052190000002</v>
      </c>
      <c r="AL62" s="113">
        <f>Valores!$C$56</f>
        <v>-1270.1600000000001</v>
      </c>
      <c r="AM62" s="113">
        <f>IF($F$5=0,Valores!$C$57,(Valores!$C$57+$F$5*(Valores!$C$57)))</f>
        <v>-7026</v>
      </c>
      <c r="AN62" s="113">
        <f t="shared" si="6"/>
        <v>698493.78569000005</v>
      </c>
      <c r="AO62" s="113">
        <f t="shared" si="0"/>
        <v>-88186.104380000004</v>
      </c>
      <c r="AP62" s="113">
        <f t="shared" si="7"/>
        <v>-24050.755740000001</v>
      </c>
      <c r="AQ62" s="113">
        <f>AE62*Valores!$C$43</f>
        <v>-21645.680165999998</v>
      </c>
      <c r="AR62" s="113">
        <f>AE62*Valores!$C$44</f>
        <v>-2405.075574</v>
      </c>
      <c r="AS62" s="113">
        <f t="shared" si="2"/>
        <v>726832.24213999999</v>
      </c>
      <c r="AT62" s="113">
        <f>AE62*Valores!$C$46</f>
        <v>128270.69728000001</v>
      </c>
      <c r="AU62" s="113">
        <f>AE62*Valores!$C$47</f>
        <v>56118.430060000006</v>
      </c>
      <c r="AV62" s="113">
        <f>AE62*Valores!$C$48</f>
        <v>8016.9185800000005</v>
      </c>
      <c r="AW62" s="113">
        <f>AE62*Valores!$C$50</f>
        <v>28059.215030000003</v>
      </c>
      <c r="AX62" s="113">
        <f>AE62*Valores!$C$52</f>
        <v>43291.360331999997</v>
      </c>
      <c r="AY62" s="113">
        <f>AE62*Valores!$C$51</f>
        <v>4810.1511479999999</v>
      </c>
      <c r="AZ62" s="114"/>
      <c r="BA62" s="114">
        <v>30</v>
      </c>
      <c r="BB62" s="111" t="s">
        <v>4</v>
      </c>
    </row>
    <row r="63" spans="1:54" s="100" customFormat="1" ht="11.25" customHeight="1" x14ac:dyDescent="0.15">
      <c r="A63" s="111" t="s">
        <v>181</v>
      </c>
      <c r="B63" s="111">
        <v>1</v>
      </c>
      <c r="C63" s="114">
        <v>56</v>
      </c>
      <c r="D63" s="112" t="s">
        <v>182</v>
      </c>
      <c r="E63" s="169">
        <v>81</v>
      </c>
      <c r="F63" s="113">
        <f>ROUND(E63*Valores!$C$2,2)</f>
        <v>7922.29</v>
      </c>
      <c r="G63" s="169">
        <v>2354</v>
      </c>
      <c r="H63" s="113">
        <f>ROUND(G63*Valores!$C$2,2)</f>
        <v>230235.32</v>
      </c>
      <c r="I63" s="169">
        <v>0</v>
      </c>
      <c r="J63" s="113">
        <f>ROUND(I63*Valores!$C$2,2)</f>
        <v>0</v>
      </c>
      <c r="K63" s="169">
        <v>0</v>
      </c>
      <c r="L63" s="113">
        <f>ROUND(K63*Valores!$C$2,2)</f>
        <v>0</v>
      </c>
      <c r="M63" s="113">
        <f>ROUND(IF($H$2=0,IF(AND(A63&lt;&gt;"13-930",A63&lt;&gt;"13-940"),(SUM(F63,H63,J63,L63,W63,S63,Q63)*Valores!$C$4),0),0),2)</f>
        <v>80337.960000000006</v>
      </c>
      <c r="N63" s="113">
        <f t="shared" si="3"/>
        <v>0</v>
      </c>
      <c r="O63" s="113">
        <f>Valores!C$83</f>
        <v>253744.8</v>
      </c>
      <c r="P63" s="113">
        <f>Valores!$D$5</f>
        <v>49998.43</v>
      </c>
      <c r="Q63" s="113">
        <f>IF($F$4="NO",Valores!$C$24,Valores!$C$24/2)</f>
        <v>36672.879999999997</v>
      </c>
      <c r="R63" s="113">
        <f>Valores!$C$8</f>
        <v>46521.33</v>
      </c>
      <c r="S63" s="113">
        <f t="shared" si="8"/>
        <v>46521.33</v>
      </c>
      <c r="T63" s="113">
        <v>0</v>
      </c>
      <c r="U63" s="113">
        <v>0</v>
      </c>
      <c r="V63" s="169">
        <v>0</v>
      </c>
      <c r="W63" s="113">
        <f>ROUND(V63*Valores!$C$2,2)</f>
        <v>0</v>
      </c>
      <c r="X63" s="113">
        <v>0</v>
      </c>
      <c r="Y63" s="188">
        <v>0</v>
      </c>
      <c r="Z63" s="113">
        <f t="shared" si="4"/>
        <v>0</v>
      </c>
      <c r="AA63" s="169">
        <v>94</v>
      </c>
      <c r="AB63" s="113">
        <f>ROUND(AA63*Valores!$C$2,2)</f>
        <v>9193.76</v>
      </c>
      <c r="AC63" s="113">
        <f>ROUND(IF($F$4="NO",Valores!$C$32,Valores!$C$32/2),2)</f>
        <v>23377.77</v>
      </c>
      <c r="AD63" s="113">
        <f>SUM(F63,H63,J63,L63,M63,N63,O63,P63,Q63,S63,T63,U63,W63,X63,Z63,AB63,AC63)*Valores!$C$58</f>
        <v>73800.454000000012</v>
      </c>
      <c r="AE63" s="113">
        <f t="shared" si="5"/>
        <v>811804.99400000006</v>
      </c>
      <c r="AF63" s="113">
        <f>Valores!$C$11</f>
        <v>36428</v>
      </c>
      <c r="AG63" s="113">
        <f>Valores!$C$59</f>
        <v>25000</v>
      </c>
      <c r="AH63" s="113">
        <f t="shared" si="1"/>
        <v>61428</v>
      </c>
      <c r="AI63" s="113">
        <f>AE63*Valores!$C$39</f>
        <v>-89298.549340000012</v>
      </c>
      <c r="AJ63" s="113">
        <f>IF(AE63&lt;Valores!$E$40,-0.02,IF(AE63&lt;Valores!$F$40,-0.03,-0.04))*AE63</f>
        <v>-24354.149820000002</v>
      </c>
      <c r="AK63" s="113">
        <f>AE63*Valores!$C$42</f>
        <v>-44649.274670000006</v>
      </c>
      <c r="AL63" s="113">
        <f>Valores!$C$56</f>
        <v>-1270.1600000000001</v>
      </c>
      <c r="AM63" s="113">
        <f>IF($F$5=0,Valores!$C$57,(Valores!$C$57+$F$5*(Valores!$C$57)))</f>
        <v>-7026</v>
      </c>
      <c r="AN63" s="113">
        <f t="shared" si="6"/>
        <v>706634.86017</v>
      </c>
      <c r="AO63" s="113">
        <f t="shared" si="0"/>
        <v>-89298.549340000012</v>
      </c>
      <c r="AP63" s="113">
        <f t="shared" si="7"/>
        <v>-24354.149820000002</v>
      </c>
      <c r="AQ63" s="113">
        <f>AE63*Valores!$C$43</f>
        <v>-21918.734838</v>
      </c>
      <c r="AR63" s="113">
        <f>AE63*Valores!$C$44</f>
        <v>-2435.4149820000002</v>
      </c>
      <c r="AS63" s="113">
        <f t="shared" si="2"/>
        <v>735226.14502000005</v>
      </c>
      <c r="AT63" s="113">
        <f>AE63*Valores!$C$46</f>
        <v>129888.79904000001</v>
      </c>
      <c r="AU63" s="113">
        <f>AE63*Valores!$C$47</f>
        <v>56826.349580000009</v>
      </c>
      <c r="AV63" s="113">
        <f>AE63*Valores!$C$48</f>
        <v>8118.0499400000008</v>
      </c>
      <c r="AW63" s="113">
        <f>AE63*Valores!$C$50</f>
        <v>28413.174790000005</v>
      </c>
      <c r="AX63" s="113">
        <f>AE63*Valores!$C$52</f>
        <v>43837.469676000001</v>
      </c>
      <c r="AY63" s="113">
        <f>AE63*Valores!$C$51</f>
        <v>4870.8299640000005</v>
      </c>
      <c r="AZ63" s="114"/>
      <c r="BA63" s="114">
        <v>25</v>
      </c>
      <c r="BB63" s="111" t="s">
        <v>4</v>
      </c>
    </row>
    <row r="64" spans="1:54" s="100" customFormat="1" ht="11.25" customHeight="1" x14ac:dyDescent="0.15">
      <c r="A64" s="111" t="s">
        <v>183</v>
      </c>
      <c r="B64" s="111">
        <v>1</v>
      </c>
      <c r="C64" s="114">
        <v>57</v>
      </c>
      <c r="D64" s="112" t="s">
        <v>184</v>
      </c>
      <c r="E64" s="169">
        <v>81</v>
      </c>
      <c r="F64" s="113">
        <f>ROUND(E64*Valores!$C$2,2)</f>
        <v>7922.29</v>
      </c>
      <c r="G64" s="169">
        <v>2094</v>
      </c>
      <c r="H64" s="113">
        <f>ROUND(G64*Valores!$C$2,2)</f>
        <v>204805.76000000001</v>
      </c>
      <c r="I64" s="169">
        <v>0</v>
      </c>
      <c r="J64" s="113">
        <f>ROUND(I64*Valores!$C$2,2)</f>
        <v>0</v>
      </c>
      <c r="K64" s="169">
        <v>0</v>
      </c>
      <c r="L64" s="113">
        <f>ROUND(K64*Valores!$C$2,2)</f>
        <v>0</v>
      </c>
      <c r="M64" s="113">
        <f>ROUND(IF($H$2=0,IF(AND(A64&lt;&gt;"13-930",A64&lt;&gt;"13-940"),(SUM(F64,H64,J64,L64,W64,S64,Q64)*Valores!$C$4),0),0),2)</f>
        <v>73980.570000000007</v>
      </c>
      <c r="N64" s="113">
        <f t="shared" si="3"/>
        <v>0</v>
      </c>
      <c r="O64" s="113">
        <f>Valores!C$83</f>
        <v>253744.8</v>
      </c>
      <c r="P64" s="113">
        <f>Valores!$D$5</f>
        <v>49998.43</v>
      </c>
      <c r="Q64" s="113">
        <f>IF($F$4="NO",Valores!$C$24,Valores!$C$24/2)</f>
        <v>36672.879999999997</v>
      </c>
      <c r="R64" s="113">
        <f>Valores!$C$8</f>
        <v>46521.33</v>
      </c>
      <c r="S64" s="113">
        <f t="shared" si="8"/>
        <v>46521.33</v>
      </c>
      <c r="T64" s="113">
        <v>0</v>
      </c>
      <c r="U64" s="113">
        <v>0</v>
      </c>
      <c r="V64" s="169">
        <v>0</v>
      </c>
      <c r="W64" s="113">
        <f>ROUND(V64*Valores!$C$2,2)</f>
        <v>0</v>
      </c>
      <c r="X64" s="113">
        <v>0</v>
      </c>
      <c r="Y64" s="188">
        <v>0</v>
      </c>
      <c r="Z64" s="113">
        <f t="shared" si="4"/>
        <v>0</v>
      </c>
      <c r="AA64" s="169">
        <v>0</v>
      </c>
      <c r="AB64" s="113">
        <f>ROUND(AA64*Valores!$C$2,2)</f>
        <v>0</v>
      </c>
      <c r="AC64" s="113">
        <f>ROUND(IF($F$4="NO",Valores!$C$32,Valores!$C$32/2),2)</f>
        <v>23377.77</v>
      </c>
      <c r="AD64" s="113">
        <f>SUM(F64,H64,J64,L64,M64,N64,O64,P64,Q64,S64,T64,U64,W64,X64,Z64,AB64,AC64)*Valores!$C$58</f>
        <v>69702.383000000002</v>
      </c>
      <c r="AE64" s="113">
        <f t="shared" si="5"/>
        <v>766726.21299999999</v>
      </c>
      <c r="AF64" s="113">
        <f>Valores!$C$11</f>
        <v>36428</v>
      </c>
      <c r="AG64" s="113">
        <f>Valores!$C$59</f>
        <v>25000</v>
      </c>
      <c r="AH64" s="113">
        <f t="shared" si="1"/>
        <v>61428</v>
      </c>
      <c r="AI64" s="113">
        <f>AE64*Valores!$C$39</f>
        <v>-84339.883430000002</v>
      </c>
      <c r="AJ64" s="113">
        <f>IF(AE64&lt;Valores!$E$40,-0.02,IF(AE64&lt;Valores!$F$40,-0.03,-0.04))*AE64</f>
        <v>-23001.786389999997</v>
      </c>
      <c r="AK64" s="113">
        <f>AE64*Valores!$C$42</f>
        <v>-42169.941715000001</v>
      </c>
      <c r="AL64" s="113">
        <f>Valores!$C$56</f>
        <v>-1270.1600000000001</v>
      </c>
      <c r="AM64" s="113">
        <f>IF($F$5=0,Valores!$C$57,(Valores!$C$57+$F$5*(Valores!$C$57)))</f>
        <v>-7026</v>
      </c>
      <c r="AN64" s="113">
        <f t="shared" si="6"/>
        <v>670346.44146499992</v>
      </c>
      <c r="AO64" s="113">
        <f t="shared" si="0"/>
        <v>-84339.883430000002</v>
      </c>
      <c r="AP64" s="113">
        <f t="shared" si="7"/>
        <v>-23001.786389999997</v>
      </c>
      <c r="AQ64" s="113">
        <f>AE64*Valores!$C$43</f>
        <v>-20701.607751</v>
      </c>
      <c r="AR64" s="113">
        <f>AE64*Valores!$C$44</f>
        <v>-2300.1786390000002</v>
      </c>
      <c r="AS64" s="113">
        <f t="shared" si="2"/>
        <v>697810.75679000001</v>
      </c>
      <c r="AT64" s="113">
        <f>AE64*Valores!$C$46</f>
        <v>122676.19408</v>
      </c>
      <c r="AU64" s="113">
        <f>AE64*Valores!$C$47</f>
        <v>53670.834910000005</v>
      </c>
      <c r="AV64" s="113">
        <f>AE64*Valores!$C$48</f>
        <v>7667.2621300000001</v>
      </c>
      <c r="AW64" s="113">
        <f>AE64*Valores!$C$50</f>
        <v>26835.417455000003</v>
      </c>
      <c r="AX64" s="113">
        <f>AE64*Valores!$C$52</f>
        <v>41403.215501999999</v>
      </c>
      <c r="AY64" s="113">
        <f>AE64*Valores!$C$51</f>
        <v>4600.3572780000004</v>
      </c>
      <c r="AZ64" s="114"/>
      <c r="BA64" s="114">
        <v>30</v>
      </c>
      <c r="BB64" s="111" t="s">
        <v>4</v>
      </c>
    </row>
    <row r="65" spans="1:54" s="100" customFormat="1" ht="11.25" customHeight="1" x14ac:dyDescent="0.15">
      <c r="A65" s="111" t="s">
        <v>185</v>
      </c>
      <c r="B65" s="111">
        <v>1</v>
      </c>
      <c r="C65" s="114">
        <v>58</v>
      </c>
      <c r="D65" s="112" t="s">
        <v>186</v>
      </c>
      <c r="E65" s="169">
        <v>80</v>
      </c>
      <c r="F65" s="113">
        <f>ROUND(E65*Valores!$C$2,2)</f>
        <v>7824.48</v>
      </c>
      <c r="G65" s="169">
        <v>2095</v>
      </c>
      <c r="H65" s="113">
        <f>ROUND(G65*Valores!$C$2,2)</f>
        <v>204903.57</v>
      </c>
      <c r="I65" s="169">
        <v>0</v>
      </c>
      <c r="J65" s="113">
        <f>ROUND(I65*Valores!$C$2,2)</f>
        <v>0</v>
      </c>
      <c r="K65" s="169">
        <v>0</v>
      </c>
      <c r="L65" s="113">
        <f>ROUND(K65*Valores!$C$2,2)</f>
        <v>0</v>
      </c>
      <c r="M65" s="113">
        <f>ROUND(IF($H$2=0,IF(AND(A65&lt;&gt;"13-930",A65&lt;&gt;"13-940"),(SUM(F65,H65,J65,L65,W65,S65,Q65)*Valores!$C$4),0),0),2)</f>
        <v>73980.570000000007</v>
      </c>
      <c r="N65" s="113">
        <f t="shared" si="3"/>
        <v>0</v>
      </c>
      <c r="O65" s="113">
        <f>Valores!C$83</f>
        <v>253744.8</v>
      </c>
      <c r="P65" s="113">
        <f>Valores!$D$5</f>
        <v>49998.43</v>
      </c>
      <c r="Q65" s="113">
        <f>IF($F$4="NO",Valores!$C$24,Valores!$C$24/2)</f>
        <v>36672.879999999997</v>
      </c>
      <c r="R65" s="113">
        <f>Valores!$C$8</f>
        <v>46521.33</v>
      </c>
      <c r="S65" s="113">
        <f t="shared" si="8"/>
        <v>46521.33</v>
      </c>
      <c r="T65" s="113">
        <v>0</v>
      </c>
      <c r="U65" s="113">
        <v>0</v>
      </c>
      <c r="V65" s="169">
        <v>0</v>
      </c>
      <c r="W65" s="113">
        <f>ROUND(V65*Valores!$C$2,2)</f>
        <v>0</v>
      </c>
      <c r="X65" s="113">
        <v>0</v>
      </c>
      <c r="Y65" s="188">
        <v>0</v>
      </c>
      <c r="Z65" s="113">
        <f t="shared" si="4"/>
        <v>0</v>
      </c>
      <c r="AA65" s="169">
        <v>94</v>
      </c>
      <c r="AB65" s="113">
        <f>ROUND(AA65*Valores!$C$2,2)</f>
        <v>9193.76</v>
      </c>
      <c r="AC65" s="113">
        <f>ROUND(IF($F$4="NO",Valores!$C$32,Valores!$C$32/2),2)</f>
        <v>23377.77</v>
      </c>
      <c r="AD65" s="113">
        <f>SUM(F65,H65,J65,L65,M65,N65,O65,P65,Q65,S65,T65,U65,W65,X65,Z65,AB65,AC65)*Valores!$C$58</f>
        <v>70621.759000000005</v>
      </c>
      <c r="AE65" s="113">
        <f t="shared" si="5"/>
        <v>776839.34899999993</v>
      </c>
      <c r="AF65" s="113">
        <f>Valores!$C$11</f>
        <v>36428</v>
      </c>
      <c r="AG65" s="113">
        <f>Valores!$C$59</f>
        <v>25000</v>
      </c>
      <c r="AH65" s="113">
        <f t="shared" si="1"/>
        <v>61428</v>
      </c>
      <c r="AI65" s="113">
        <f>AE65*Valores!$C$39</f>
        <v>-85452.328389999995</v>
      </c>
      <c r="AJ65" s="113">
        <f>IF(AE65&lt;Valores!$E$40,-0.02,IF(AE65&lt;Valores!$F$40,-0.03,-0.04))*AE65</f>
        <v>-23305.180469999996</v>
      </c>
      <c r="AK65" s="113">
        <f>AE65*Valores!$C$42</f>
        <v>-42726.164194999998</v>
      </c>
      <c r="AL65" s="113">
        <f>Valores!$C$56</f>
        <v>-1270.1600000000001</v>
      </c>
      <c r="AM65" s="113">
        <f>IF($F$5=0,Valores!$C$57,(Valores!$C$57+$F$5*(Valores!$C$57)))</f>
        <v>-7026</v>
      </c>
      <c r="AN65" s="113">
        <f t="shared" si="6"/>
        <v>678487.51594499988</v>
      </c>
      <c r="AO65" s="113">
        <f t="shared" si="0"/>
        <v>-85452.328389999995</v>
      </c>
      <c r="AP65" s="113">
        <f t="shared" si="7"/>
        <v>-23305.180469999996</v>
      </c>
      <c r="AQ65" s="113">
        <f>AE65*Valores!$C$43</f>
        <v>-20974.662422999998</v>
      </c>
      <c r="AR65" s="113">
        <f>AE65*Valores!$C$44</f>
        <v>-2330.518047</v>
      </c>
      <c r="AS65" s="113">
        <f t="shared" si="2"/>
        <v>706204.65966999996</v>
      </c>
      <c r="AT65" s="113">
        <f>AE65*Valores!$C$46</f>
        <v>124294.29583999999</v>
      </c>
      <c r="AU65" s="113">
        <f>AE65*Valores!$C$47</f>
        <v>54378.754430000001</v>
      </c>
      <c r="AV65" s="113">
        <f>AE65*Valores!$C$48</f>
        <v>7768.3934899999995</v>
      </c>
      <c r="AW65" s="113">
        <f>AE65*Valores!$C$50</f>
        <v>27189.377215</v>
      </c>
      <c r="AX65" s="113">
        <f>AE65*Valores!$C$52</f>
        <v>41949.324845999996</v>
      </c>
      <c r="AY65" s="113">
        <f>AE65*Valores!$C$51</f>
        <v>4661.036094</v>
      </c>
      <c r="AZ65" s="114"/>
      <c r="BA65" s="114">
        <v>25</v>
      </c>
      <c r="BB65" s="111" t="s">
        <v>4</v>
      </c>
    </row>
    <row r="66" spans="1:54" s="100" customFormat="1" ht="11.25" customHeight="1" x14ac:dyDescent="0.15">
      <c r="A66" s="111" t="s">
        <v>187</v>
      </c>
      <c r="B66" s="111">
        <v>1</v>
      </c>
      <c r="C66" s="114">
        <v>59</v>
      </c>
      <c r="D66" s="112" t="s">
        <v>188</v>
      </c>
      <c r="E66" s="169">
        <v>79</v>
      </c>
      <c r="F66" s="113">
        <f>ROUND(E66*Valores!$C$2,2)</f>
        <v>7726.67</v>
      </c>
      <c r="G66" s="169">
        <v>1944</v>
      </c>
      <c r="H66" s="113">
        <f>ROUND(G66*Valores!$C$2,2)</f>
        <v>190134.86</v>
      </c>
      <c r="I66" s="169">
        <v>0</v>
      </c>
      <c r="J66" s="113">
        <f>ROUND(I66*Valores!$C$2,2)</f>
        <v>0</v>
      </c>
      <c r="K66" s="169">
        <v>0</v>
      </c>
      <c r="L66" s="113">
        <f>ROUND(K66*Valores!$C$2,2)</f>
        <v>0</v>
      </c>
      <c r="M66" s="113">
        <f>ROUND(IF($H$2=0,IF(AND(A66&lt;&gt;"13-930",A66&lt;&gt;"13-940"),(SUM(F66,H66,J66,L66,W66,S66,Q66)*Valores!$C$4),0),0),2)</f>
        <v>70263.94</v>
      </c>
      <c r="N66" s="113">
        <f t="shared" si="3"/>
        <v>0</v>
      </c>
      <c r="O66" s="113">
        <f>Valores!C$83</f>
        <v>253744.8</v>
      </c>
      <c r="P66" s="113">
        <f>Valores!$D$5</f>
        <v>49998.43</v>
      </c>
      <c r="Q66" s="113">
        <f>IF($F$4="NO",Valores!$C$24,Valores!$C$24/2)</f>
        <v>36672.879999999997</v>
      </c>
      <c r="R66" s="113">
        <f>Valores!$C$8</f>
        <v>46521.33</v>
      </c>
      <c r="S66" s="113">
        <f t="shared" si="8"/>
        <v>46521.33</v>
      </c>
      <c r="T66" s="113">
        <v>0</v>
      </c>
      <c r="U66" s="113">
        <v>0</v>
      </c>
      <c r="V66" s="169">
        <v>0</v>
      </c>
      <c r="W66" s="113">
        <f>ROUND(V66*Valores!$C$2,2)</f>
        <v>0</v>
      </c>
      <c r="X66" s="113">
        <v>0</v>
      </c>
      <c r="Y66" s="188">
        <v>0</v>
      </c>
      <c r="Z66" s="113">
        <f t="shared" si="4"/>
        <v>0</v>
      </c>
      <c r="AA66" s="169">
        <v>0</v>
      </c>
      <c r="AB66" s="113">
        <f>ROUND(AA66*Valores!$C$2,2)</f>
        <v>0</v>
      </c>
      <c r="AC66" s="113">
        <f>ROUND(IF($F$4="NO",Valores!$C$32,Valores!$C$32/2),2)</f>
        <v>23377.77</v>
      </c>
      <c r="AD66" s="113">
        <f>SUM(F66,H66,J66,L66,M66,N66,O66,P66,Q66,S66,T66,U66,W66,X66,Z66,AB66,AC66)*Valores!$C$58</f>
        <v>67844.067999999999</v>
      </c>
      <c r="AE66" s="113">
        <f t="shared" si="5"/>
        <v>746284.74799999991</v>
      </c>
      <c r="AF66" s="113">
        <f>Valores!$C$11</f>
        <v>36428</v>
      </c>
      <c r="AG66" s="113">
        <f>Valores!$C$59</f>
        <v>25000</v>
      </c>
      <c r="AH66" s="113">
        <f t="shared" si="1"/>
        <v>61428</v>
      </c>
      <c r="AI66" s="113">
        <f>AE66*Valores!$C$39</f>
        <v>-82091.322279999993</v>
      </c>
      <c r="AJ66" s="113">
        <f>IF(AE66&lt;Valores!$E$40,-0.02,IF(AE66&lt;Valores!$F$40,-0.03,-0.04))*AE66</f>
        <v>-14925.694959999999</v>
      </c>
      <c r="AK66" s="113">
        <f>AE66*Valores!$C$42</f>
        <v>-41045.661139999997</v>
      </c>
      <c r="AL66" s="113">
        <f>Valores!$C$56</f>
        <v>-1270.1600000000001</v>
      </c>
      <c r="AM66" s="113">
        <f>IF($F$5=0,Valores!$C$57,(Valores!$C$57+$F$5*(Valores!$C$57)))</f>
        <v>-7026</v>
      </c>
      <c r="AN66" s="113">
        <f t="shared" si="6"/>
        <v>661353.90961999993</v>
      </c>
      <c r="AO66" s="113">
        <f t="shared" si="0"/>
        <v>-82091.322279999993</v>
      </c>
      <c r="AP66" s="113">
        <f t="shared" si="7"/>
        <v>-14925.694959999999</v>
      </c>
      <c r="AQ66" s="113">
        <f>AE66*Valores!$C$43</f>
        <v>-20149.688195999996</v>
      </c>
      <c r="AR66" s="113">
        <f>AE66*Valores!$C$44</f>
        <v>-2238.8542439999997</v>
      </c>
      <c r="AS66" s="113">
        <f t="shared" si="2"/>
        <v>688307.18831999996</v>
      </c>
      <c r="AT66" s="113">
        <f>AE66*Valores!$C$46</f>
        <v>119405.55967999999</v>
      </c>
      <c r="AU66" s="113">
        <f>AE66*Valores!$C$47</f>
        <v>52239.932359999999</v>
      </c>
      <c r="AV66" s="113">
        <f>AE66*Valores!$C$48</f>
        <v>7462.8474799999995</v>
      </c>
      <c r="AW66" s="113">
        <f>AE66*Valores!$C$50</f>
        <v>26119.966179999999</v>
      </c>
      <c r="AX66" s="113">
        <f>AE66*Valores!$C$52</f>
        <v>40299.376391999991</v>
      </c>
      <c r="AY66" s="113">
        <f>AE66*Valores!$C$51</f>
        <v>4477.7084879999993</v>
      </c>
      <c r="AZ66" s="114"/>
      <c r="BA66" s="114">
        <v>30</v>
      </c>
      <c r="BB66" s="111" t="s">
        <v>4</v>
      </c>
    </row>
    <row r="67" spans="1:54" s="100" customFormat="1" ht="11.25" customHeight="1" x14ac:dyDescent="0.15">
      <c r="A67" s="111" t="s">
        <v>189</v>
      </c>
      <c r="B67" s="111">
        <v>1</v>
      </c>
      <c r="C67" s="114">
        <v>60</v>
      </c>
      <c r="D67" s="112" t="s">
        <v>190</v>
      </c>
      <c r="E67" s="169">
        <v>79</v>
      </c>
      <c r="F67" s="113">
        <f>ROUND(E67*Valores!$C$2,2)</f>
        <v>7726.67</v>
      </c>
      <c r="G67" s="169">
        <v>1944</v>
      </c>
      <c r="H67" s="113">
        <f>ROUND(G67*Valores!$C$2,2)</f>
        <v>190134.86</v>
      </c>
      <c r="I67" s="169">
        <v>0</v>
      </c>
      <c r="J67" s="113">
        <f>ROUND(I67*Valores!$C$2,2)</f>
        <v>0</v>
      </c>
      <c r="K67" s="169">
        <v>0</v>
      </c>
      <c r="L67" s="113">
        <f>ROUND(K67*Valores!$C$2,2)</f>
        <v>0</v>
      </c>
      <c r="M67" s="113">
        <f>ROUND(IF($H$2=0,IF(AND(A67&lt;&gt;"13-930",A67&lt;&gt;"13-940"),(SUM(F67,H67,J67,L67,W67,S67,Q67)*Valores!$C$4),0),0),2)</f>
        <v>70263.94</v>
      </c>
      <c r="N67" s="113">
        <f t="shared" si="3"/>
        <v>0</v>
      </c>
      <c r="O67" s="113">
        <f>Valores!C$83</f>
        <v>253744.8</v>
      </c>
      <c r="P67" s="113">
        <f>Valores!$D$5</f>
        <v>49998.43</v>
      </c>
      <c r="Q67" s="113">
        <f>IF($F$4="NO",Valores!$C$24,Valores!$C$24/2)</f>
        <v>36672.879999999997</v>
      </c>
      <c r="R67" s="113">
        <f>Valores!$C$8</f>
        <v>46521.33</v>
      </c>
      <c r="S67" s="113">
        <f t="shared" si="8"/>
        <v>46521.33</v>
      </c>
      <c r="T67" s="113">
        <v>0</v>
      </c>
      <c r="U67" s="113">
        <v>0</v>
      </c>
      <c r="V67" s="169">
        <v>0</v>
      </c>
      <c r="W67" s="113">
        <f>ROUND(V67*Valores!$C$2,2)</f>
        <v>0</v>
      </c>
      <c r="X67" s="113">
        <v>0</v>
      </c>
      <c r="Y67" s="188">
        <v>0</v>
      </c>
      <c r="Z67" s="113">
        <f t="shared" si="4"/>
        <v>0</v>
      </c>
      <c r="AA67" s="169">
        <v>94</v>
      </c>
      <c r="AB67" s="113">
        <f>ROUND(AA67*Valores!$C$2,2)</f>
        <v>9193.76</v>
      </c>
      <c r="AC67" s="113">
        <f>ROUND(IF($F$4="NO",Valores!$C$32,Valores!$C$32/2),2)</f>
        <v>23377.77</v>
      </c>
      <c r="AD67" s="113">
        <f>SUM(F67,H67,J67,L67,M67,N67,O67,P67,Q67,S67,T67,U67,W67,X67,Z67,AB67,AC67)*Valores!$C$58</f>
        <v>68763.444000000003</v>
      </c>
      <c r="AE67" s="113">
        <f t="shared" si="5"/>
        <v>756397.88399999996</v>
      </c>
      <c r="AF67" s="113">
        <f>Valores!$C$11</f>
        <v>36428</v>
      </c>
      <c r="AG67" s="113">
        <f>Valores!$C$59</f>
        <v>25000</v>
      </c>
      <c r="AH67" s="113">
        <f t="shared" si="1"/>
        <v>61428</v>
      </c>
      <c r="AI67" s="113">
        <f>AE67*Valores!$C$39</f>
        <v>-83203.767240000001</v>
      </c>
      <c r="AJ67" s="113">
        <f>IF(AE67&lt;Valores!$E$40,-0.02,IF(AE67&lt;Valores!$F$40,-0.03,-0.04))*AE67</f>
        <v>-22691.936519999999</v>
      </c>
      <c r="AK67" s="113">
        <f>AE67*Valores!$C$42</f>
        <v>-41601.883620000001</v>
      </c>
      <c r="AL67" s="113">
        <f>Valores!$C$56</f>
        <v>-1270.1600000000001</v>
      </c>
      <c r="AM67" s="113">
        <f>IF($F$5=0,Valores!$C$57,(Valores!$C$57+$F$5*(Valores!$C$57)))</f>
        <v>-7026</v>
      </c>
      <c r="AN67" s="113">
        <f t="shared" si="6"/>
        <v>662032.13662</v>
      </c>
      <c r="AO67" s="113">
        <f t="shared" si="0"/>
        <v>-83203.767240000001</v>
      </c>
      <c r="AP67" s="113">
        <f t="shared" si="7"/>
        <v>-22691.936519999999</v>
      </c>
      <c r="AQ67" s="113">
        <f>AE67*Valores!$C$43</f>
        <v>-20422.742867999998</v>
      </c>
      <c r="AR67" s="113">
        <f>AE67*Valores!$C$44</f>
        <v>-2269.1936519999999</v>
      </c>
      <c r="AS67" s="113">
        <f t="shared" si="2"/>
        <v>689238.24371999991</v>
      </c>
      <c r="AT67" s="113">
        <f>AE67*Valores!$C$46</f>
        <v>121023.66144</v>
      </c>
      <c r="AU67" s="113">
        <f>AE67*Valores!$C$47</f>
        <v>52947.851880000002</v>
      </c>
      <c r="AV67" s="113">
        <f>AE67*Valores!$C$48</f>
        <v>7563.9788399999998</v>
      </c>
      <c r="AW67" s="113">
        <f>AE67*Valores!$C$50</f>
        <v>26473.925940000001</v>
      </c>
      <c r="AX67" s="113">
        <f>AE67*Valores!$C$52</f>
        <v>40845.485735999995</v>
      </c>
      <c r="AY67" s="113">
        <f>AE67*Valores!$C$51</f>
        <v>4538.3873039999999</v>
      </c>
      <c r="AZ67" s="114"/>
      <c r="BA67" s="114">
        <v>25</v>
      </c>
      <c r="BB67" s="111" t="s">
        <v>8</v>
      </c>
    </row>
    <row r="68" spans="1:54" s="100" customFormat="1" ht="11.25" customHeight="1" x14ac:dyDescent="0.15">
      <c r="A68" s="111" t="s">
        <v>191</v>
      </c>
      <c r="B68" s="111">
        <v>1</v>
      </c>
      <c r="C68" s="114">
        <v>61</v>
      </c>
      <c r="D68" s="112" t="s">
        <v>192</v>
      </c>
      <c r="E68" s="169">
        <v>100</v>
      </c>
      <c r="F68" s="113">
        <f>ROUND(E68*Valores!$C$2,2)</f>
        <v>9780.6</v>
      </c>
      <c r="G68" s="169">
        <v>2864</v>
      </c>
      <c r="H68" s="113">
        <f>ROUND(G68*Valores!$C$2,2)</f>
        <v>280116.38</v>
      </c>
      <c r="I68" s="169">
        <v>0</v>
      </c>
      <c r="J68" s="113">
        <f>ROUND(I68*Valores!$C$2,2)</f>
        <v>0</v>
      </c>
      <c r="K68" s="169">
        <v>0</v>
      </c>
      <c r="L68" s="113">
        <f>ROUND(K68*Valores!$C$2,2)</f>
        <v>0</v>
      </c>
      <c r="M68" s="113">
        <f>ROUND(IF($H$2=0,IF(AND(A68&lt;&gt;"13-930",A68&lt;&gt;"13-940"),(SUM(F68,H68,J68,L68,W68,S68,Q68)*Valores!$C$4),0),0),2)</f>
        <v>92787.37</v>
      </c>
      <c r="N68" s="113">
        <f t="shared" si="3"/>
        <v>0</v>
      </c>
      <c r="O68" s="113">
        <f>Valores!C$72</f>
        <v>195448.73</v>
      </c>
      <c r="P68" s="113">
        <f>Valores!$D$5</f>
        <v>49998.43</v>
      </c>
      <c r="Q68" s="113">
        <f>IF($F$4="NO",Valores!$C$23,Valores!$C$23/2)</f>
        <v>34731.18</v>
      </c>
      <c r="R68" s="113">
        <f>Valores!$C$8</f>
        <v>46521.33</v>
      </c>
      <c r="S68" s="113">
        <f t="shared" si="8"/>
        <v>46521.33</v>
      </c>
      <c r="T68" s="113">
        <v>0</v>
      </c>
      <c r="U68" s="113">
        <v>0</v>
      </c>
      <c r="V68" s="169">
        <v>0</v>
      </c>
      <c r="W68" s="113">
        <f>ROUND(V68*Valores!$C$2,2)</f>
        <v>0</v>
      </c>
      <c r="X68" s="113">
        <v>0</v>
      </c>
      <c r="Y68" s="188">
        <v>0</v>
      </c>
      <c r="Z68" s="113">
        <f t="shared" si="4"/>
        <v>0</v>
      </c>
      <c r="AA68" s="169">
        <v>0</v>
      </c>
      <c r="AB68" s="113">
        <f>ROUND(AA68*Valores!$C$2,2)</f>
        <v>0</v>
      </c>
      <c r="AC68" s="113">
        <f>ROUND(IF($F$4="NO",Valores!$C$32,Valores!$C$32/2),2)</f>
        <v>23377.77</v>
      </c>
      <c r="AD68" s="113">
        <f>SUM(F68,H68,J68,L68,M68,N68,O68,P68,Q68,S68,T68,U68,W68,X68,Z68,AB68,AC68)*Valores!$C$58</f>
        <v>73276.179000000004</v>
      </c>
      <c r="AE68" s="113">
        <f t="shared" si="5"/>
        <v>806037.96900000004</v>
      </c>
      <c r="AF68" s="113">
        <f>Valores!$C$12</f>
        <v>72856</v>
      </c>
      <c r="AG68" s="113">
        <f>Valores!$C$59</f>
        <v>25000</v>
      </c>
      <c r="AH68" s="113">
        <f t="shared" si="1"/>
        <v>97856</v>
      </c>
      <c r="AI68" s="113">
        <f>AE68*Valores!$C$39</f>
        <v>-88664.176590000003</v>
      </c>
      <c r="AJ68" s="113">
        <f>IF(AE68&lt;Valores!$E$40,-0.02,IF(AE68&lt;Valores!$F$40,-0.03,-0.04))*AE68</f>
        <v>-24181.139070000001</v>
      </c>
      <c r="AK68" s="113">
        <f>AE68*Valores!$C$42</f>
        <v>-44332.088295000001</v>
      </c>
      <c r="AL68" s="113">
        <f>Valores!$C$56</f>
        <v>-1270.1600000000001</v>
      </c>
      <c r="AM68" s="113">
        <f>IF($F$5=0,Valores!$C$57,(Valores!$C$57+$F$5*(Valores!$C$57)))</f>
        <v>-7026</v>
      </c>
      <c r="AN68" s="113">
        <f t="shared" si="6"/>
        <v>738420.40504500002</v>
      </c>
      <c r="AO68" s="113">
        <f t="shared" si="0"/>
        <v>-88664.176590000003</v>
      </c>
      <c r="AP68" s="113">
        <f t="shared" si="7"/>
        <v>-24181.139070000001</v>
      </c>
      <c r="AQ68" s="113">
        <f>AE68*Valores!$C$43</f>
        <v>-21763.025163000002</v>
      </c>
      <c r="AR68" s="113">
        <f>AE68*Valores!$C$44</f>
        <v>-2418.1139070000004</v>
      </c>
      <c r="AS68" s="113">
        <f t="shared" si="2"/>
        <v>766867.51427000004</v>
      </c>
      <c r="AT68" s="113">
        <f>AE68*Valores!$C$46</f>
        <v>128966.07504000001</v>
      </c>
      <c r="AU68" s="113">
        <f>AE68*Valores!$C$47</f>
        <v>56422.657830000011</v>
      </c>
      <c r="AV68" s="113">
        <f>AE68*Valores!$C$48</f>
        <v>8060.3796900000007</v>
      </c>
      <c r="AW68" s="113">
        <f>AE68*Valores!$C$50</f>
        <v>28211.328915000006</v>
      </c>
      <c r="AX68" s="113">
        <f>AE68*Valores!$C$52</f>
        <v>43526.050326000004</v>
      </c>
      <c r="AY68" s="113">
        <f>AE68*Valores!$C$51</f>
        <v>4836.2278140000008</v>
      </c>
      <c r="AZ68" s="114"/>
      <c r="BA68" s="114"/>
      <c r="BB68" s="111" t="s">
        <v>4</v>
      </c>
    </row>
    <row r="69" spans="1:54" s="100" customFormat="1" ht="11.25" customHeight="1" x14ac:dyDescent="0.15">
      <c r="A69" s="111" t="s">
        <v>193</v>
      </c>
      <c r="B69" s="111">
        <v>1</v>
      </c>
      <c r="C69" s="114">
        <v>62</v>
      </c>
      <c r="D69" s="112" t="s">
        <v>194</v>
      </c>
      <c r="E69" s="169">
        <v>79</v>
      </c>
      <c r="F69" s="113">
        <f>ROUND(E69*Valores!$C$2,2)</f>
        <v>7726.67</v>
      </c>
      <c r="G69" s="169">
        <v>2161</v>
      </c>
      <c r="H69" s="113">
        <f>ROUND(G69*Valores!$C$2,2)</f>
        <v>211358.77</v>
      </c>
      <c r="I69" s="169">
        <v>0</v>
      </c>
      <c r="J69" s="113">
        <f>ROUND(I69*Valores!$C$2,2)</f>
        <v>0</v>
      </c>
      <c r="K69" s="169">
        <v>0</v>
      </c>
      <c r="L69" s="113">
        <f>ROUND(K69*Valores!$C$2,2)</f>
        <v>0</v>
      </c>
      <c r="M69" s="113">
        <f>ROUND(IF($H$2=0,IF(AND(A69&lt;&gt;"13-930",A69&lt;&gt;"13-940"),(SUM(F69,H69,J69,L69,W69,S69,Q69)*Valores!$C$4),0),0),2)</f>
        <v>75569.91</v>
      </c>
      <c r="N69" s="113">
        <f t="shared" si="3"/>
        <v>0</v>
      </c>
      <c r="O69" s="113">
        <f>Valores!C$83</f>
        <v>253744.8</v>
      </c>
      <c r="P69" s="113">
        <f>Valores!$D$5</f>
        <v>49998.43</v>
      </c>
      <c r="Q69" s="113">
        <f>IF($F$4="NO",Valores!$C$24,Valores!$C$24/2)</f>
        <v>36672.879999999997</v>
      </c>
      <c r="R69" s="113">
        <f>Valores!$C$8</f>
        <v>46521.33</v>
      </c>
      <c r="S69" s="113">
        <f t="shared" si="8"/>
        <v>46521.33</v>
      </c>
      <c r="T69" s="113">
        <v>0</v>
      </c>
      <c r="U69" s="113">
        <v>0</v>
      </c>
      <c r="V69" s="169">
        <v>0</v>
      </c>
      <c r="W69" s="113">
        <f>ROUND(V69*Valores!$C$2,2)</f>
        <v>0</v>
      </c>
      <c r="X69" s="113">
        <v>0</v>
      </c>
      <c r="Y69" s="188">
        <v>0</v>
      </c>
      <c r="Z69" s="113">
        <f t="shared" si="4"/>
        <v>0</v>
      </c>
      <c r="AA69" s="169">
        <v>0</v>
      </c>
      <c r="AB69" s="113">
        <f>ROUND(AA69*Valores!$C$2,2)</f>
        <v>0</v>
      </c>
      <c r="AC69" s="113">
        <f>ROUND(IF($F$4="NO",Valores!$C$32,Valores!$C$32/2),2)</f>
        <v>23377.77</v>
      </c>
      <c r="AD69" s="113">
        <f>SUM(F69,H69,J69,L69,M69,N69,O69,P69,Q69,S69,T69,U69,W69,X69,Z69,AB69,AC69)*Valores!$C$58</f>
        <v>70497.055999999997</v>
      </c>
      <c r="AE69" s="113">
        <f t="shared" si="5"/>
        <v>775467.61599999992</v>
      </c>
      <c r="AF69" s="113">
        <f>Valores!$C$11</f>
        <v>36428</v>
      </c>
      <c r="AG69" s="113">
        <f>Valores!$C$59</f>
        <v>25000</v>
      </c>
      <c r="AH69" s="113">
        <f t="shared" si="1"/>
        <v>61428</v>
      </c>
      <c r="AI69" s="113">
        <f>AE69*Valores!$C$39</f>
        <v>-85301.437759999986</v>
      </c>
      <c r="AJ69" s="113">
        <f>IF(AE69&lt;Valores!$E$40,-0.02,IF(AE69&lt;Valores!$F$40,-0.03,-0.04))*AE69</f>
        <v>-23264.028479999997</v>
      </c>
      <c r="AK69" s="113">
        <f>AE69*Valores!$C$42</f>
        <v>-42650.718879999993</v>
      </c>
      <c r="AL69" s="113">
        <f>Valores!$C$56</f>
        <v>-1270.1600000000001</v>
      </c>
      <c r="AM69" s="113">
        <f>IF($F$5=0,Valores!$C$57,(Valores!$C$57+$F$5*(Valores!$C$57)))</f>
        <v>-7026</v>
      </c>
      <c r="AN69" s="113">
        <f t="shared" si="6"/>
        <v>677383.27087999997</v>
      </c>
      <c r="AO69" s="113">
        <f t="shared" si="0"/>
        <v>-85301.437759999986</v>
      </c>
      <c r="AP69" s="113">
        <f t="shared" si="7"/>
        <v>-23264.028479999997</v>
      </c>
      <c r="AQ69" s="113">
        <f>AE69*Valores!$C$43</f>
        <v>-20937.625631999999</v>
      </c>
      <c r="AR69" s="113">
        <f>AE69*Valores!$C$44</f>
        <v>-2326.4028479999997</v>
      </c>
      <c r="AS69" s="113">
        <f t="shared" si="2"/>
        <v>705066.12127999996</v>
      </c>
      <c r="AT69" s="113">
        <f>AE69*Valores!$C$46</f>
        <v>124074.81855999999</v>
      </c>
      <c r="AU69" s="113">
        <f>AE69*Valores!$C$47</f>
        <v>54282.733119999997</v>
      </c>
      <c r="AV69" s="113">
        <f>AE69*Valores!$C$48</f>
        <v>7754.6761599999991</v>
      </c>
      <c r="AW69" s="113">
        <f>AE69*Valores!$C$50</f>
        <v>27141.366559999999</v>
      </c>
      <c r="AX69" s="113">
        <f>AE69*Valores!$C$52</f>
        <v>41875.251263999999</v>
      </c>
      <c r="AY69" s="113">
        <f>AE69*Valores!$C$51</f>
        <v>4652.8056959999994</v>
      </c>
      <c r="AZ69" s="114"/>
      <c r="BA69" s="114">
        <v>30</v>
      </c>
      <c r="BB69" s="111" t="s">
        <v>4</v>
      </c>
    </row>
    <row r="70" spans="1:54" s="100" customFormat="1" ht="11.25" customHeight="1" x14ac:dyDescent="0.15">
      <c r="A70" s="111" t="s">
        <v>195</v>
      </c>
      <c r="B70" s="111">
        <v>1</v>
      </c>
      <c r="C70" s="114">
        <v>63</v>
      </c>
      <c r="D70" s="112" t="s">
        <v>196</v>
      </c>
      <c r="E70" s="169">
        <v>90</v>
      </c>
      <c r="F70" s="113">
        <f>ROUND(E70*Valores!$C$2,2)</f>
        <v>8802.5400000000009</v>
      </c>
      <c r="G70" s="169">
        <v>3010</v>
      </c>
      <c r="H70" s="113">
        <f>ROUND(G70*Valores!$C$2,2)</f>
        <v>294396.06</v>
      </c>
      <c r="I70" s="169">
        <v>0</v>
      </c>
      <c r="J70" s="113">
        <f>ROUND(I70*Valores!$C$2,2)</f>
        <v>0</v>
      </c>
      <c r="K70" s="169">
        <v>0</v>
      </c>
      <c r="L70" s="113">
        <f>ROUND(K70*Valores!$C$2,2)</f>
        <v>0</v>
      </c>
      <c r="M70" s="113">
        <f>ROUND(IF($H$2=0,IF(AND(A70&lt;&gt;"13-930",A70&lt;&gt;"13-940"),(SUM(F70,H70,J70,L70,W70,S70,Q70)*Valores!$C$4),0),0),2)</f>
        <v>98554.07</v>
      </c>
      <c r="N70" s="113">
        <f t="shared" si="3"/>
        <v>0</v>
      </c>
      <c r="O70" s="113">
        <f>Valores!C$83</f>
        <v>253744.8</v>
      </c>
      <c r="P70" s="113">
        <f>Valores!$D$5</f>
        <v>49998.43</v>
      </c>
      <c r="Q70" s="113">
        <f>IF($F$4="NO",Valores!$C$27,Valores!$C$27/2)</f>
        <v>44496.34</v>
      </c>
      <c r="R70" s="113">
        <f>Valores!$C$8</f>
        <v>46521.33</v>
      </c>
      <c r="S70" s="113">
        <f t="shared" si="8"/>
        <v>46521.33</v>
      </c>
      <c r="T70" s="113">
        <v>0</v>
      </c>
      <c r="U70" s="113">
        <v>0</v>
      </c>
      <c r="V70" s="169">
        <v>0</v>
      </c>
      <c r="W70" s="113">
        <f>ROUND(V70*Valores!$C$2,2)</f>
        <v>0</v>
      </c>
      <c r="X70" s="113">
        <v>0</v>
      </c>
      <c r="Y70" s="188">
        <v>0</v>
      </c>
      <c r="Z70" s="113">
        <f t="shared" si="4"/>
        <v>0</v>
      </c>
      <c r="AA70" s="169">
        <v>0</v>
      </c>
      <c r="AB70" s="113">
        <f>ROUND(AA70*Valores!$C$2,2)</f>
        <v>0</v>
      </c>
      <c r="AC70" s="113">
        <f>ROUND(IF($F$4="NO",Valores!$C$32,Valores!$C$32/2),2)</f>
        <v>23377.77</v>
      </c>
      <c r="AD70" s="113">
        <f>SUM(F70,H70,J70,L70,M70,N70,O70,P70,Q70,S70,T70,U70,W70,X70,Z70,AB70,AC70)*Valores!$C$58</f>
        <v>81989.134000000005</v>
      </c>
      <c r="AE70" s="113">
        <f t="shared" si="5"/>
        <v>901880.47399999993</v>
      </c>
      <c r="AF70" s="113">
        <f>Valores!$C$12</f>
        <v>72856</v>
      </c>
      <c r="AG70" s="113">
        <f>Valores!$C$59</f>
        <v>25000</v>
      </c>
      <c r="AH70" s="113">
        <f t="shared" si="1"/>
        <v>97856</v>
      </c>
      <c r="AI70" s="113">
        <f>AE70*Valores!$C$39</f>
        <v>-99206.852139999988</v>
      </c>
      <c r="AJ70" s="113">
        <f>IF(AE70&lt;Valores!$E$40,-0.02,IF(AE70&lt;Valores!$F$40,-0.03,-0.04))*AE70</f>
        <v>-27056.414219999995</v>
      </c>
      <c r="AK70" s="113">
        <f>AE70*Valores!$C$42</f>
        <v>-49603.426069999994</v>
      </c>
      <c r="AL70" s="113">
        <f>Valores!$C$56</f>
        <v>-1270.1600000000001</v>
      </c>
      <c r="AM70" s="113">
        <f>IF($F$5=0,Valores!$C$57,(Valores!$C$57+$F$5*(Valores!$C$57)))</f>
        <v>-7026</v>
      </c>
      <c r="AN70" s="113">
        <f t="shared" si="6"/>
        <v>815573.62156999996</v>
      </c>
      <c r="AO70" s="113">
        <f t="shared" si="0"/>
        <v>-99206.852139999988</v>
      </c>
      <c r="AP70" s="113">
        <f t="shared" si="7"/>
        <v>-27056.414219999995</v>
      </c>
      <c r="AQ70" s="113">
        <f>AE70*Valores!$C$43</f>
        <v>-24350.772797999998</v>
      </c>
      <c r="AR70" s="113">
        <f>AE70*Valores!$C$44</f>
        <v>-2705.6414219999997</v>
      </c>
      <c r="AS70" s="113">
        <f t="shared" si="2"/>
        <v>846416.79342</v>
      </c>
      <c r="AT70" s="113">
        <f>AE70*Valores!$C$46</f>
        <v>144300.87583999999</v>
      </c>
      <c r="AU70" s="113">
        <f>AE70*Valores!$C$47</f>
        <v>63131.633180000004</v>
      </c>
      <c r="AV70" s="113">
        <f>AE70*Valores!$C$48</f>
        <v>9018.8047399999996</v>
      </c>
      <c r="AW70" s="113">
        <f>AE70*Valores!$C$50</f>
        <v>31565.816590000002</v>
      </c>
      <c r="AX70" s="113">
        <f>AE70*Valores!$C$52</f>
        <v>48701.545595999996</v>
      </c>
      <c r="AY70" s="113">
        <f>AE70*Valores!$C$51</f>
        <v>5411.2828439999994</v>
      </c>
      <c r="AZ70" s="114"/>
      <c r="BA70" s="114"/>
      <c r="BB70" s="111" t="s">
        <v>4</v>
      </c>
    </row>
    <row r="71" spans="1:54" s="100" customFormat="1" ht="11.25" customHeight="1" x14ac:dyDescent="0.15">
      <c r="A71" s="111" t="s">
        <v>197</v>
      </c>
      <c r="B71" s="111">
        <v>1</v>
      </c>
      <c r="C71" s="114">
        <v>64</v>
      </c>
      <c r="D71" s="112" t="s">
        <v>198</v>
      </c>
      <c r="E71" s="169">
        <v>78</v>
      </c>
      <c r="F71" s="113">
        <f>ROUND(E71*Valores!$C$2,2)</f>
        <v>7628.87</v>
      </c>
      <c r="G71" s="169">
        <v>2162</v>
      </c>
      <c r="H71" s="113">
        <f>ROUND(G71*Valores!$C$2,2)</f>
        <v>211456.57</v>
      </c>
      <c r="I71" s="169">
        <v>0</v>
      </c>
      <c r="J71" s="113">
        <f>ROUND(I71*Valores!$C$2,2)</f>
        <v>0</v>
      </c>
      <c r="K71" s="169">
        <v>0</v>
      </c>
      <c r="L71" s="113">
        <f>ROUND(K71*Valores!$C$2,2)</f>
        <v>0</v>
      </c>
      <c r="M71" s="113">
        <f>ROUND(IF($H$2=0,IF(AND(A71&lt;&gt;"13-930",A71&lt;&gt;"13-940"),(SUM(F71,H71,J71,L71,W71,S71,Q71)*Valores!$C$4),0),0),2)</f>
        <v>75569.91</v>
      </c>
      <c r="N71" s="113">
        <f t="shared" si="3"/>
        <v>0</v>
      </c>
      <c r="O71" s="113">
        <f>Valores!C$83</f>
        <v>253744.8</v>
      </c>
      <c r="P71" s="113">
        <f>Valores!$D$5</f>
        <v>49998.43</v>
      </c>
      <c r="Q71" s="113">
        <f>IF($F$4="NO",Valores!$C$24,Valores!$C$24/2)</f>
        <v>36672.879999999997</v>
      </c>
      <c r="R71" s="113">
        <f>Valores!$C$8</f>
        <v>46521.33</v>
      </c>
      <c r="S71" s="113">
        <f t="shared" si="8"/>
        <v>46521.33</v>
      </c>
      <c r="T71" s="113">
        <v>0</v>
      </c>
      <c r="U71" s="113">
        <v>0</v>
      </c>
      <c r="V71" s="169">
        <v>0</v>
      </c>
      <c r="W71" s="113">
        <f>ROUND(V71*Valores!$C$2,2)</f>
        <v>0</v>
      </c>
      <c r="X71" s="113">
        <v>0</v>
      </c>
      <c r="Y71" s="188">
        <v>0</v>
      </c>
      <c r="Z71" s="113">
        <f t="shared" si="4"/>
        <v>0</v>
      </c>
      <c r="AA71" s="169">
        <v>0</v>
      </c>
      <c r="AB71" s="113">
        <f>ROUND(AA71*Valores!$C$2,2)</f>
        <v>0</v>
      </c>
      <c r="AC71" s="113">
        <f>ROUND(IF($F$4="NO",Valores!$C$32,Valores!$C$32/2),2)</f>
        <v>23377.77</v>
      </c>
      <c r="AD71" s="113">
        <f>SUM(F71,H71,J71,L71,M71,N71,O71,P71,Q71,S71,T71,U71,W71,X71,Z71,AB71,AC71)*Valores!$C$58</f>
        <v>70497.055999999997</v>
      </c>
      <c r="AE71" s="113">
        <f t="shared" si="5"/>
        <v>775467.61599999992</v>
      </c>
      <c r="AF71" s="113">
        <f>Valores!$C$11</f>
        <v>36428</v>
      </c>
      <c r="AG71" s="113">
        <f>Valores!$C$59</f>
        <v>25000</v>
      </c>
      <c r="AH71" s="113">
        <f t="shared" si="1"/>
        <v>61428</v>
      </c>
      <c r="AI71" s="113">
        <f>AE71*Valores!$C$39</f>
        <v>-85301.437759999986</v>
      </c>
      <c r="AJ71" s="113">
        <f>IF(AE71&lt;Valores!$E$40,-0.02,IF(AE71&lt;Valores!$F$40,-0.03,-0.04))*AE71</f>
        <v>-23264.028479999997</v>
      </c>
      <c r="AK71" s="113">
        <f>AE71*Valores!$C$42</f>
        <v>-42650.718879999993</v>
      </c>
      <c r="AL71" s="113">
        <f>Valores!$C$56</f>
        <v>-1270.1600000000001</v>
      </c>
      <c r="AM71" s="113">
        <f>IF($F$5=0,Valores!$C$57,(Valores!$C$57+$F$5*(Valores!$C$57)))</f>
        <v>-7026</v>
      </c>
      <c r="AN71" s="113">
        <f t="shared" si="6"/>
        <v>677383.27087999997</v>
      </c>
      <c r="AO71" s="113">
        <f t="shared" ref="AO71:AO133" si="13">AI71</f>
        <v>-85301.437759999986</v>
      </c>
      <c r="AP71" s="113">
        <f t="shared" si="7"/>
        <v>-23264.028479999997</v>
      </c>
      <c r="AQ71" s="113">
        <f>AE71*Valores!$C$43</f>
        <v>-20937.625631999999</v>
      </c>
      <c r="AR71" s="113">
        <f>AE71*Valores!$C$44</f>
        <v>-2326.4028479999997</v>
      </c>
      <c r="AS71" s="113">
        <f t="shared" si="2"/>
        <v>705066.12127999996</v>
      </c>
      <c r="AT71" s="113">
        <f>AE71*Valores!$C$46</f>
        <v>124074.81855999999</v>
      </c>
      <c r="AU71" s="113">
        <f>AE71*Valores!$C$47</f>
        <v>54282.733119999997</v>
      </c>
      <c r="AV71" s="113">
        <f>AE71*Valores!$C$48</f>
        <v>7754.6761599999991</v>
      </c>
      <c r="AW71" s="113">
        <f>AE71*Valores!$C$50</f>
        <v>27141.366559999999</v>
      </c>
      <c r="AX71" s="113">
        <f>AE71*Valores!$C$52</f>
        <v>41875.251263999999</v>
      </c>
      <c r="AY71" s="113">
        <f>AE71*Valores!$C$51</f>
        <v>4652.8056959999994</v>
      </c>
      <c r="AZ71" s="114"/>
      <c r="BA71" s="114">
        <v>25</v>
      </c>
      <c r="BB71" s="111" t="s">
        <v>4</v>
      </c>
    </row>
    <row r="72" spans="1:54" s="100" customFormat="1" ht="11.25" customHeight="1" x14ac:dyDescent="0.15">
      <c r="A72" s="111" t="s">
        <v>199</v>
      </c>
      <c r="B72" s="111">
        <v>1</v>
      </c>
      <c r="C72" s="114">
        <v>65</v>
      </c>
      <c r="D72" s="112" t="s">
        <v>200</v>
      </c>
      <c r="E72" s="169">
        <v>90</v>
      </c>
      <c r="F72" s="113">
        <f>ROUND(E72*Valores!$C$2,2)</f>
        <v>8802.5400000000009</v>
      </c>
      <c r="G72" s="169">
        <v>2800</v>
      </c>
      <c r="H72" s="113">
        <f>ROUND(G72*Valores!$C$2,2)</f>
        <v>273856.8</v>
      </c>
      <c r="I72" s="169">
        <v>0</v>
      </c>
      <c r="J72" s="113">
        <f>ROUND(I72*Valores!$C$2,2)</f>
        <v>0</v>
      </c>
      <c r="K72" s="169">
        <v>0</v>
      </c>
      <c r="L72" s="113">
        <f>ROUND(K72*Valores!$C$2,2)</f>
        <v>0</v>
      </c>
      <c r="M72" s="113">
        <f>ROUND(IF($H$2=0,IF(AND(A72&lt;&gt;"13-930",A72&lt;&gt;"13-940"),(SUM(F72,H72,J72,L72,W72,S72,Q72)*Valores!$C$4),0),0),2)</f>
        <v>93419.25</v>
      </c>
      <c r="N72" s="113">
        <f t="shared" si="3"/>
        <v>0</v>
      </c>
      <c r="O72" s="113">
        <f>Valores!C$76</f>
        <v>209141.1</v>
      </c>
      <c r="P72" s="113">
        <f>Valores!$D$5</f>
        <v>49998.43</v>
      </c>
      <c r="Q72" s="113">
        <f>IF($F$4="NO",Valores!$C$27,Valores!$C$27/2)</f>
        <v>44496.34</v>
      </c>
      <c r="R72" s="113">
        <f>Valores!$C$8</f>
        <v>46521.33</v>
      </c>
      <c r="S72" s="113">
        <f t="shared" si="8"/>
        <v>46521.33</v>
      </c>
      <c r="T72" s="113">
        <v>0</v>
      </c>
      <c r="U72" s="113">
        <v>0</v>
      </c>
      <c r="V72" s="169">
        <v>0</v>
      </c>
      <c r="W72" s="113">
        <f>ROUND(V72*Valores!$C$2,2)</f>
        <v>0</v>
      </c>
      <c r="X72" s="113">
        <v>0</v>
      </c>
      <c r="Y72" s="188">
        <v>0</v>
      </c>
      <c r="Z72" s="113">
        <f t="shared" si="4"/>
        <v>0</v>
      </c>
      <c r="AA72" s="169">
        <v>0</v>
      </c>
      <c r="AB72" s="113">
        <f>ROUND(AA72*Valores!$C$2,2)</f>
        <v>0</v>
      </c>
      <c r="AC72" s="113">
        <f>ROUND(IF($F$4="NO",Valores!$C$32,Valores!$C$32/2),2)</f>
        <v>23377.77</v>
      </c>
      <c r="AD72" s="113">
        <f>SUM(F72,H72,J72,L72,M72,N72,O72,P72,Q72,S72,T72,U72,W72,X72,Z72,AB72,AC72)*Valores!$C$58</f>
        <v>74961.356</v>
      </c>
      <c r="AE72" s="113">
        <f t="shared" si="5"/>
        <v>824574.91599999997</v>
      </c>
      <c r="AF72" s="113">
        <f>Valores!$C$11</f>
        <v>36428</v>
      </c>
      <c r="AG72" s="113">
        <f>Valores!$C$59</f>
        <v>25000</v>
      </c>
      <c r="AH72" s="113">
        <f t="shared" ref="AH72:AH135" si="14">SUM(AF72:AG72)</f>
        <v>61428</v>
      </c>
      <c r="AI72" s="113">
        <f>AE72*Valores!$C$39</f>
        <v>-90703.240760000001</v>
      </c>
      <c r="AJ72" s="113">
        <f>IF(AE72&lt;Valores!$E$40,-0.02,IF(AE72&lt;Valores!$F$40,-0.03,-0.04))*AE72</f>
        <v>-24737.247479999998</v>
      </c>
      <c r="AK72" s="113">
        <f>AE72*Valores!$C$42</f>
        <v>-45351.62038</v>
      </c>
      <c r="AL72" s="113">
        <f>Valores!$C$56</f>
        <v>-1270.1600000000001</v>
      </c>
      <c r="AM72" s="113">
        <f>IF($F$5=0,Valores!$C$57,(Valores!$C$57+$F$5*(Valores!$C$57)))</f>
        <v>-7026</v>
      </c>
      <c r="AN72" s="113">
        <f t="shared" si="6"/>
        <v>716914.64737999998</v>
      </c>
      <c r="AO72" s="113">
        <f t="shared" si="13"/>
        <v>-90703.240760000001</v>
      </c>
      <c r="AP72" s="113">
        <f t="shared" si="7"/>
        <v>-24737.247479999998</v>
      </c>
      <c r="AQ72" s="113">
        <f>AE72*Valores!$C$43</f>
        <v>-22263.522731999998</v>
      </c>
      <c r="AR72" s="113">
        <f>AE72*Valores!$C$44</f>
        <v>-2473.7247480000001</v>
      </c>
      <c r="AS72" s="113">
        <f t="shared" ref="AS72:AS135" si="15">AE72+AH72+SUM(AO72:AR72)</f>
        <v>745825.18027999997</v>
      </c>
      <c r="AT72" s="113">
        <f>AE72*Valores!$C$46</f>
        <v>131931.98655999999</v>
      </c>
      <c r="AU72" s="113">
        <f>AE72*Valores!$C$47</f>
        <v>57720.244120000003</v>
      </c>
      <c r="AV72" s="113">
        <f>AE72*Valores!$C$48</f>
        <v>8245.7491599999994</v>
      </c>
      <c r="AW72" s="113">
        <f>AE72*Valores!$C$50</f>
        <v>28860.122060000002</v>
      </c>
      <c r="AX72" s="113">
        <f>AE72*Valores!$C$52</f>
        <v>44527.045463999995</v>
      </c>
      <c r="AY72" s="113">
        <f>AE72*Valores!$C$51</f>
        <v>4947.4494960000002</v>
      </c>
      <c r="AZ72" s="114"/>
      <c r="BA72" s="114"/>
      <c r="BB72" s="111" t="s">
        <v>8</v>
      </c>
    </row>
    <row r="73" spans="1:54" s="100" customFormat="1" ht="11.25" customHeight="1" x14ac:dyDescent="0.15">
      <c r="A73" s="111" t="s">
        <v>201</v>
      </c>
      <c r="B73" s="111">
        <v>1</v>
      </c>
      <c r="C73" s="114">
        <v>66</v>
      </c>
      <c r="D73" s="112" t="s">
        <v>202</v>
      </c>
      <c r="E73" s="169">
        <v>79</v>
      </c>
      <c r="F73" s="113">
        <f>ROUND(E73*Valores!$C$2,2)</f>
        <v>7726.67</v>
      </c>
      <c r="G73" s="169">
        <v>2161</v>
      </c>
      <c r="H73" s="113">
        <f>ROUND(G73*Valores!$C$2,2)</f>
        <v>211358.77</v>
      </c>
      <c r="I73" s="169">
        <v>0</v>
      </c>
      <c r="J73" s="113">
        <f>ROUND(I73*Valores!$C$2,2)</f>
        <v>0</v>
      </c>
      <c r="K73" s="169">
        <v>0</v>
      </c>
      <c r="L73" s="113">
        <f>ROUND(K73*Valores!$C$2,2)</f>
        <v>0</v>
      </c>
      <c r="M73" s="113">
        <f>ROUND(IF($H$2=0,IF(AND(A73&lt;&gt;"13-930",A73&lt;&gt;"13-940"),(SUM(F73,H73,J73,L73,W73,S73,Q73)*Valores!$C$4),0),0),2)</f>
        <v>75569.91</v>
      </c>
      <c r="N73" s="113">
        <f t="shared" ref="N73:N136" si="16">ROUND(SUM(F73,H73,J73,L73,W73,Q73)*$H$2,2)</f>
        <v>0</v>
      </c>
      <c r="O73" s="113">
        <f>Valores!C$83</f>
        <v>253744.8</v>
      </c>
      <c r="P73" s="113">
        <f>Valores!$D$5</f>
        <v>49998.43</v>
      </c>
      <c r="Q73" s="113">
        <f>IF($F$4="NO",Valores!$C$24,Valores!$C$24/2)</f>
        <v>36672.879999999997</v>
      </c>
      <c r="R73" s="113">
        <f>Valores!$C$8</f>
        <v>46521.33</v>
      </c>
      <c r="S73" s="113">
        <f t="shared" si="8"/>
        <v>46521.33</v>
      </c>
      <c r="T73" s="113">
        <v>0</v>
      </c>
      <c r="U73" s="113">
        <v>0</v>
      </c>
      <c r="V73" s="169">
        <v>0</v>
      </c>
      <c r="W73" s="113">
        <f>ROUND(V73*Valores!$C$2,2)</f>
        <v>0</v>
      </c>
      <c r="X73" s="113">
        <v>0</v>
      </c>
      <c r="Y73" s="188">
        <v>0</v>
      </c>
      <c r="Z73" s="113">
        <f t="shared" ref="Z73:Z136" si="17">ROUND(SUM(F73,H73,J73,W73,Q73)*Y73,2)</f>
        <v>0</v>
      </c>
      <c r="AA73" s="169">
        <v>0</v>
      </c>
      <c r="AB73" s="113">
        <f>ROUND(AA73*Valores!$C$2,2)</f>
        <v>0</v>
      </c>
      <c r="AC73" s="113">
        <f>ROUND(IF($F$4="NO",Valores!$C$32,Valores!$C$32/2),2)</f>
        <v>23377.77</v>
      </c>
      <c r="AD73" s="113">
        <f>SUM(F73,H73,J73,L73,M73,N73,O73,P73,Q73,S73,T73,U73,W73,X73,Z73,AB73,AC73)*Valores!$C$58</f>
        <v>70497.055999999997</v>
      </c>
      <c r="AE73" s="113">
        <f t="shared" ref="AE73:AE136" si="18">SUM(F73,H73,J73,L73,M73,N73,O73,P73,Q73,S73,T73,U73,W73,X73,Z73,AB73,AC73,AD73)</f>
        <v>775467.61599999992</v>
      </c>
      <c r="AF73" s="113">
        <f>Valores!$C$11</f>
        <v>36428</v>
      </c>
      <c r="AG73" s="113">
        <f>Valores!$C$59</f>
        <v>25000</v>
      </c>
      <c r="AH73" s="113">
        <f t="shared" si="14"/>
        <v>61428</v>
      </c>
      <c r="AI73" s="113">
        <f>AE73*Valores!$C$39</f>
        <v>-85301.437759999986</v>
      </c>
      <c r="AJ73" s="113">
        <f>IF(AE73&lt;Valores!$E$40,-0.02,IF(AE73&lt;Valores!$F$40,-0.03,-0.04))*AE73</f>
        <v>-23264.028479999997</v>
      </c>
      <c r="AK73" s="113">
        <f>AE73*Valores!$C$42</f>
        <v>-42650.718879999993</v>
      </c>
      <c r="AL73" s="113">
        <f>Valores!$C$56</f>
        <v>-1270.1600000000001</v>
      </c>
      <c r="AM73" s="113">
        <f>IF($F$5=0,Valores!$C$57,(Valores!$C$57+$F$5*(Valores!$C$57)))</f>
        <v>-7026</v>
      </c>
      <c r="AN73" s="113">
        <f t="shared" ref="AN73:AN136" si="19">AE73+SUM(AH73:AM73)</f>
        <v>677383.27087999997</v>
      </c>
      <c r="AO73" s="113">
        <f t="shared" si="13"/>
        <v>-85301.437759999986</v>
      </c>
      <c r="AP73" s="113">
        <f t="shared" ref="AP73:AP136" si="20">AJ73</f>
        <v>-23264.028479999997</v>
      </c>
      <c r="AQ73" s="113">
        <f>AE73*Valores!$C$43</f>
        <v>-20937.625631999999</v>
      </c>
      <c r="AR73" s="113">
        <f>AE73*Valores!$C$44</f>
        <v>-2326.4028479999997</v>
      </c>
      <c r="AS73" s="113">
        <f t="shared" si="15"/>
        <v>705066.12127999996</v>
      </c>
      <c r="AT73" s="113">
        <f>AE73*Valores!$C$46</f>
        <v>124074.81855999999</v>
      </c>
      <c r="AU73" s="113">
        <f>AE73*Valores!$C$47</f>
        <v>54282.733119999997</v>
      </c>
      <c r="AV73" s="113">
        <f>AE73*Valores!$C$48</f>
        <v>7754.6761599999991</v>
      </c>
      <c r="AW73" s="113">
        <f>AE73*Valores!$C$50</f>
        <v>27141.366559999999</v>
      </c>
      <c r="AX73" s="113">
        <f>AE73*Valores!$C$52</f>
        <v>41875.251263999999</v>
      </c>
      <c r="AY73" s="113">
        <f>AE73*Valores!$C$51</f>
        <v>4652.8056959999994</v>
      </c>
      <c r="AZ73" s="114"/>
      <c r="BA73" s="114">
        <v>30</v>
      </c>
      <c r="BB73" s="111" t="s">
        <v>4</v>
      </c>
    </row>
    <row r="74" spans="1:54" s="100" customFormat="1" ht="11.25" customHeight="1" x14ac:dyDescent="0.15">
      <c r="A74" s="111" t="s">
        <v>203</v>
      </c>
      <c r="B74" s="111">
        <v>1</v>
      </c>
      <c r="C74" s="114">
        <v>67</v>
      </c>
      <c r="D74" s="112" t="s">
        <v>204</v>
      </c>
      <c r="E74" s="169">
        <v>90</v>
      </c>
      <c r="F74" s="113">
        <f>ROUND(E74*Valores!$C$2,2)</f>
        <v>8802.5400000000009</v>
      </c>
      <c r="G74" s="169">
        <v>2720</v>
      </c>
      <c r="H74" s="113">
        <f>ROUND(G74*Valores!$C$2,2)</f>
        <v>266032.32</v>
      </c>
      <c r="I74" s="169">
        <v>0</v>
      </c>
      <c r="J74" s="113">
        <f>ROUND(I74*Valores!$C$2,2)</f>
        <v>0</v>
      </c>
      <c r="K74" s="169">
        <v>0</v>
      </c>
      <c r="L74" s="113">
        <f>ROUND(K74*Valores!$C$2,2)</f>
        <v>0</v>
      </c>
      <c r="M74" s="113">
        <f>ROUND(IF($H$2=0,IF(AND(A74&lt;&gt;"13-930",A74&lt;&gt;"13-940"),(SUM(F74,H74,J74,L74,W74,S74,Q74)*Valores!$C$4),0),0),2)</f>
        <v>91463.13</v>
      </c>
      <c r="N74" s="113">
        <f t="shared" si="16"/>
        <v>0</v>
      </c>
      <c r="O74" s="113">
        <f>Valores!C$76</f>
        <v>209141.1</v>
      </c>
      <c r="P74" s="113">
        <f>Valores!$D$5</f>
        <v>49998.43</v>
      </c>
      <c r="Q74" s="113">
        <f>IF($F$4="NO",Valores!$C$27,Valores!$C$434/2)</f>
        <v>44496.34</v>
      </c>
      <c r="R74" s="113">
        <f>Valores!$C$8</f>
        <v>46521.33</v>
      </c>
      <c r="S74" s="113">
        <f t="shared" si="8"/>
        <v>46521.33</v>
      </c>
      <c r="T74" s="113">
        <v>0</v>
      </c>
      <c r="U74" s="113">
        <v>0</v>
      </c>
      <c r="V74" s="169">
        <v>0</v>
      </c>
      <c r="W74" s="113">
        <f>ROUND(V74*Valores!$C$2,2)</f>
        <v>0</v>
      </c>
      <c r="X74" s="113">
        <v>0</v>
      </c>
      <c r="Y74" s="188">
        <v>0</v>
      </c>
      <c r="Z74" s="113">
        <f t="shared" si="17"/>
        <v>0</v>
      </c>
      <c r="AA74" s="169">
        <v>0</v>
      </c>
      <c r="AB74" s="113">
        <f>ROUND(AA74*Valores!$C$2,2)</f>
        <v>0</v>
      </c>
      <c r="AC74" s="113">
        <f>ROUND(IF($F$4="NO",Valores!$C$32,Valores!$C$32/2),2)</f>
        <v>23377.77</v>
      </c>
      <c r="AD74" s="113">
        <f>SUM(F74,H74,J74,L74,M74,N74,O74,P74,Q74,S74,T74,U74,W74,X74,Z74,AB74,AC74)*Valores!$C$58</f>
        <v>73983.296000000002</v>
      </c>
      <c r="AE74" s="113">
        <f t="shared" si="18"/>
        <v>813816.25599999994</v>
      </c>
      <c r="AF74" s="113">
        <f>Valores!$C$11</f>
        <v>36428</v>
      </c>
      <c r="AG74" s="113">
        <f>Valores!$C$59</f>
        <v>25000</v>
      </c>
      <c r="AH74" s="113">
        <f t="shared" si="14"/>
        <v>61428</v>
      </c>
      <c r="AI74" s="113">
        <f>AE74*Valores!$C$39</f>
        <v>-89519.788159999996</v>
      </c>
      <c r="AJ74" s="113">
        <f>IF(AE74&lt;Valores!$E$40,-0.02,IF(AE74&lt;Valores!$F$40,-0.03,-0.04))*AE74</f>
        <v>-24414.487679999998</v>
      </c>
      <c r="AK74" s="113">
        <f>AE74*Valores!$C$42</f>
        <v>-44759.894079999998</v>
      </c>
      <c r="AL74" s="113">
        <f>Valores!$C$56</f>
        <v>-1270.1600000000001</v>
      </c>
      <c r="AM74" s="113">
        <f>IF($F$5=0,Valores!$C$57,(Valores!$C$57+$F$5*(Valores!$C$57)))</f>
        <v>-7026</v>
      </c>
      <c r="AN74" s="113">
        <f t="shared" si="19"/>
        <v>708253.92607999989</v>
      </c>
      <c r="AO74" s="113">
        <f t="shared" si="13"/>
        <v>-89519.788159999996</v>
      </c>
      <c r="AP74" s="113">
        <f t="shared" si="20"/>
        <v>-24414.487679999998</v>
      </c>
      <c r="AQ74" s="113">
        <f>AE74*Valores!$C$43</f>
        <v>-21973.038911999996</v>
      </c>
      <c r="AR74" s="113">
        <f>AE74*Valores!$C$44</f>
        <v>-2441.4487679999997</v>
      </c>
      <c r="AS74" s="113">
        <f t="shared" si="15"/>
        <v>736895.49248000002</v>
      </c>
      <c r="AT74" s="113">
        <f>AE74*Valores!$C$46</f>
        <v>130210.60096</v>
      </c>
      <c r="AU74" s="113">
        <f>AE74*Valores!$C$47</f>
        <v>56967.137920000001</v>
      </c>
      <c r="AV74" s="113">
        <f>AE74*Valores!$C$48</f>
        <v>8138.1625599999998</v>
      </c>
      <c r="AW74" s="113">
        <f>AE74*Valores!$C$50</f>
        <v>28483.568960000001</v>
      </c>
      <c r="AX74" s="113">
        <f>AE74*Valores!$C$52</f>
        <v>43946.077823999993</v>
      </c>
      <c r="AY74" s="113">
        <f>AE74*Valores!$C$51</f>
        <v>4882.8975359999995</v>
      </c>
      <c r="AZ74" s="114"/>
      <c r="BA74" s="114"/>
      <c r="BB74" s="111" t="s">
        <v>8</v>
      </c>
    </row>
    <row r="75" spans="1:54" s="100" customFormat="1" ht="11.25" customHeight="1" x14ac:dyDescent="0.15">
      <c r="A75" s="111" t="s">
        <v>205</v>
      </c>
      <c r="B75" s="111">
        <v>1</v>
      </c>
      <c r="C75" s="114">
        <v>68</v>
      </c>
      <c r="D75" s="112" t="s">
        <v>206</v>
      </c>
      <c r="E75" s="169">
        <v>78</v>
      </c>
      <c r="F75" s="113">
        <f>ROUND(E75*Valores!$C$2,2)</f>
        <v>7628.87</v>
      </c>
      <c r="G75" s="169">
        <v>1284</v>
      </c>
      <c r="H75" s="113">
        <f>ROUND(G75*Valores!$C$2,2)</f>
        <v>125582.9</v>
      </c>
      <c r="I75" s="169">
        <v>0</v>
      </c>
      <c r="J75" s="113">
        <f>ROUND(I75*Valores!$C$2,2)</f>
        <v>0</v>
      </c>
      <c r="K75" s="169">
        <v>0</v>
      </c>
      <c r="L75" s="113">
        <f>ROUND(K75*Valores!$C$2,2)</f>
        <v>0</v>
      </c>
      <c r="M75" s="113">
        <f>ROUND(IF($H$2=0,IF(AND(A75&lt;&gt;"13-930",A75&lt;&gt;"13-940"),(SUM(F75,H75,J75,L75,W75,S75,Q75)*Valores!$C$4),0),0),2)</f>
        <v>53497.16</v>
      </c>
      <c r="N75" s="113">
        <f t="shared" si="16"/>
        <v>0</v>
      </c>
      <c r="O75" s="113">
        <f>Valores!C$81</f>
        <v>239735.67999999999</v>
      </c>
      <c r="P75" s="113">
        <f>Valores!$D$5</f>
        <v>49998.43</v>
      </c>
      <c r="Q75" s="113">
        <f>IF($F$4="NO",Valores!$C$23,Valores!$C$23/2)</f>
        <v>34731.18</v>
      </c>
      <c r="R75" s="113">
        <f>Valores!$C$9</f>
        <v>46045.69</v>
      </c>
      <c r="S75" s="113">
        <f t="shared" ref="S75:S138" si="21">ROUND(R75*(1+$H$2),2)</f>
        <v>46045.69</v>
      </c>
      <c r="T75" s="113">
        <v>0</v>
      </c>
      <c r="U75" s="113">
        <v>0</v>
      </c>
      <c r="V75" s="169">
        <v>0</v>
      </c>
      <c r="W75" s="113">
        <f>ROUND(V75*Valores!$C$2,2)</f>
        <v>0</v>
      </c>
      <c r="X75" s="113">
        <v>0</v>
      </c>
      <c r="Y75" s="188">
        <v>0</v>
      </c>
      <c r="Z75" s="113">
        <f t="shared" si="17"/>
        <v>0</v>
      </c>
      <c r="AA75" s="169">
        <v>0</v>
      </c>
      <c r="AB75" s="113">
        <f>ROUND(AA75*Valores!$C$2,2)</f>
        <v>0</v>
      </c>
      <c r="AC75" s="113">
        <f>ROUND(IF($F$4="NO",Valores!$C$32,Valores!$C$32/2),2)</f>
        <v>23377.77</v>
      </c>
      <c r="AD75" s="113">
        <f>SUM(F75,H75,J75,L75,M75,N75,O75,P75,Q75,S75,T75,U75,W75,X75,Z75,AB75,AC75)*Valores!$C$58</f>
        <v>58059.767999999996</v>
      </c>
      <c r="AE75" s="113">
        <f t="shared" si="18"/>
        <v>638657.44799999997</v>
      </c>
      <c r="AF75" s="113">
        <f>Valores!$C$11</f>
        <v>36428</v>
      </c>
      <c r="AG75" s="113">
        <f>Valores!$C$59</f>
        <v>25000</v>
      </c>
      <c r="AH75" s="113">
        <f t="shared" si="14"/>
        <v>61428</v>
      </c>
      <c r="AI75" s="113">
        <f>AE75*Valores!$C$39</f>
        <v>-70252.319279999996</v>
      </c>
      <c r="AJ75" s="113">
        <f>IF(AE75&lt;Valores!$E$40,-0.02,IF(AE75&lt;Valores!$F$40,-0.03,-0.04))*AE75</f>
        <v>-12773.14896</v>
      </c>
      <c r="AK75" s="113">
        <f>AE75*Valores!$C$42</f>
        <v>-35126.159639999998</v>
      </c>
      <c r="AL75" s="113">
        <f>Valores!$C$56</f>
        <v>-1270.1600000000001</v>
      </c>
      <c r="AM75" s="113">
        <f>IF($F$5=0,Valores!$C$57,(Valores!$C$57+$F$5*(Valores!$C$57)))</f>
        <v>-7026</v>
      </c>
      <c r="AN75" s="113">
        <f t="shared" si="19"/>
        <v>573637.66012000002</v>
      </c>
      <c r="AO75" s="113">
        <f t="shared" si="13"/>
        <v>-70252.319279999996</v>
      </c>
      <c r="AP75" s="113">
        <f t="shared" si="20"/>
        <v>-12773.14896</v>
      </c>
      <c r="AQ75" s="113">
        <f>AE75*Valores!$C$43</f>
        <v>-17243.751096</v>
      </c>
      <c r="AR75" s="113">
        <f>AE75*Valores!$C$44</f>
        <v>-1915.972344</v>
      </c>
      <c r="AS75" s="113">
        <f t="shared" si="15"/>
        <v>597900.25631999993</v>
      </c>
      <c r="AT75" s="113">
        <f>AE75*Valores!$C$46</f>
        <v>102185.19168</v>
      </c>
      <c r="AU75" s="113">
        <f>AE75*Valores!$C$47</f>
        <v>44706.021360000006</v>
      </c>
      <c r="AV75" s="113">
        <f>AE75*Valores!$C$48</f>
        <v>6386.5744800000002</v>
      </c>
      <c r="AW75" s="113">
        <f>AE75*Valores!$C$50</f>
        <v>22353.010680000003</v>
      </c>
      <c r="AX75" s="113">
        <f>AE75*Valores!$C$52</f>
        <v>34487.502192</v>
      </c>
      <c r="AY75" s="113">
        <f>AE75*Valores!$C$51</f>
        <v>3831.944688</v>
      </c>
      <c r="AZ75" s="114"/>
      <c r="BA75" s="114">
        <v>30</v>
      </c>
      <c r="BB75" s="111" t="s">
        <v>4</v>
      </c>
    </row>
    <row r="76" spans="1:54" s="100" customFormat="1" ht="11.25" customHeight="1" x14ac:dyDescent="0.15">
      <c r="A76" s="111" t="s">
        <v>207</v>
      </c>
      <c r="B76" s="111">
        <v>1</v>
      </c>
      <c r="C76" s="114">
        <v>69</v>
      </c>
      <c r="D76" s="112" t="s">
        <v>208</v>
      </c>
      <c r="E76" s="169">
        <v>78</v>
      </c>
      <c r="F76" s="113">
        <f>ROUND(E76*Valores!$C$2,2)</f>
        <v>7628.87</v>
      </c>
      <c r="G76" s="169">
        <v>1284</v>
      </c>
      <c r="H76" s="113">
        <f>ROUND(G76*Valores!$C$2,2)</f>
        <v>125582.9</v>
      </c>
      <c r="I76" s="169">
        <v>0</v>
      </c>
      <c r="J76" s="113">
        <f>ROUND(I76*Valores!$C$2,2)</f>
        <v>0</v>
      </c>
      <c r="K76" s="169">
        <v>0</v>
      </c>
      <c r="L76" s="113">
        <f>ROUND(K76*Valores!$C$2,2)</f>
        <v>0</v>
      </c>
      <c r="M76" s="113">
        <f>ROUND(IF($H$2=0,IF(AND(A76&lt;&gt;"13-930",A76&lt;&gt;"13-940"),(SUM(F76,H76,J76,L76,W76,S76,Q76)*Valores!$C$4),0),0),2)</f>
        <v>53497.16</v>
      </c>
      <c r="N76" s="113">
        <f t="shared" si="16"/>
        <v>0</v>
      </c>
      <c r="O76" s="113">
        <f>Valores!C$81</f>
        <v>239735.67999999999</v>
      </c>
      <c r="P76" s="113">
        <f>Valores!$D$5</f>
        <v>49998.43</v>
      </c>
      <c r="Q76" s="113">
        <f>IF($F$4="NO",Valores!$C$23,Valores!$C$23/2)</f>
        <v>34731.18</v>
      </c>
      <c r="R76" s="113">
        <f>Valores!$C$9</f>
        <v>46045.69</v>
      </c>
      <c r="S76" s="113">
        <f t="shared" si="21"/>
        <v>46045.69</v>
      </c>
      <c r="T76" s="113">
        <v>0</v>
      </c>
      <c r="U76" s="113">
        <v>0</v>
      </c>
      <c r="V76" s="169">
        <v>0</v>
      </c>
      <c r="W76" s="113">
        <f>ROUND(V76*Valores!$C$2,2)</f>
        <v>0</v>
      </c>
      <c r="X76" s="113">
        <v>0</v>
      </c>
      <c r="Y76" s="188">
        <v>0</v>
      </c>
      <c r="Z76" s="113">
        <f t="shared" si="17"/>
        <v>0</v>
      </c>
      <c r="AA76" s="169">
        <v>0</v>
      </c>
      <c r="AB76" s="113">
        <f>ROUND(AA76*Valores!$C$2,2)</f>
        <v>0</v>
      </c>
      <c r="AC76" s="113">
        <f>ROUND(IF($F$4="NO",Valores!$C$32,Valores!$C$32/2),2)</f>
        <v>23377.77</v>
      </c>
      <c r="AD76" s="113">
        <f>SUM(F76,H76,J76,L76,M76,N76,O76,P76,Q76,S76,T76,U76,W76,X76,Z76,AB76,AC76)*Valores!$C$58</f>
        <v>58059.767999999996</v>
      </c>
      <c r="AE76" s="113">
        <f t="shared" si="18"/>
        <v>638657.44799999997</v>
      </c>
      <c r="AF76" s="113">
        <f>Valores!$C$11</f>
        <v>36428</v>
      </c>
      <c r="AG76" s="113">
        <f>Valores!$C$59</f>
        <v>25000</v>
      </c>
      <c r="AH76" s="113">
        <f t="shared" si="14"/>
        <v>61428</v>
      </c>
      <c r="AI76" s="113">
        <f>AE76*Valores!$C$39</f>
        <v>-70252.319279999996</v>
      </c>
      <c r="AJ76" s="113">
        <f>IF(AE76&lt;Valores!$E$40,-0.02,IF(AE76&lt;Valores!$F$40,-0.03,-0.04))*AE76</f>
        <v>-12773.14896</v>
      </c>
      <c r="AK76" s="113">
        <f>AE76*Valores!$C$42</f>
        <v>-35126.159639999998</v>
      </c>
      <c r="AL76" s="113">
        <f>Valores!$C$56</f>
        <v>-1270.1600000000001</v>
      </c>
      <c r="AM76" s="113">
        <f>IF($F$5=0,Valores!$C$57,(Valores!$C$57+$F$5*(Valores!$C$57)))</f>
        <v>-7026</v>
      </c>
      <c r="AN76" s="113">
        <f t="shared" si="19"/>
        <v>573637.66012000002</v>
      </c>
      <c r="AO76" s="113">
        <f t="shared" si="13"/>
        <v>-70252.319279999996</v>
      </c>
      <c r="AP76" s="113">
        <f t="shared" si="20"/>
        <v>-12773.14896</v>
      </c>
      <c r="AQ76" s="113">
        <f>AE76*Valores!$C$43</f>
        <v>-17243.751096</v>
      </c>
      <c r="AR76" s="113">
        <f>AE76*Valores!$C$44</f>
        <v>-1915.972344</v>
      </c>
      <c r="AS76" s="113">
        <f t="shared" si="15"/>
        <v>597900.25631999993</v>
      </c>
      <c r="AT76" s="113">
        <f>AE76*Valores!$C$46</f>
        <v>102185.19168</v>
      </c>
      <c r="AU76" s="113">
        <f>AE76*Valores!$C$47</f>
        <v>44706.021360000006</v>
      </c>
      <c r="AV76" s="113">
        <f>AE76*Valores!$C$48</f>
        <v>6386.5744800000002</v>
      </c>
      <c r="AW76" s="113">
        <f>AE76*Valores!$C$50</f>
        <v>22353.010680000003</v>
      </c>
      <c r="AX76" s="113">
        <f>AE76*Valores!$C$52</f>
        <v>34487.502192</v>
      </c>
      <c r="AY76" s="113">
        <f>AE76*Valores!$C$51</f>
        <v>3831.944688</v>
      </c>
      <c r="AZ76" s="114"/>
      <c r="BA76" s="114"/>
      <c r="BB76" s="111" t="s">
        <v>8</v>
      </c>
    </row>
    <row r="77" spans="1:54" s="100" customFormat="1" ht="11.25" customHeight="1" x14ac:dyDescent="0.15">
      <c r="A77" s="111" t="s">
        <v>209</v>
      </c>
      <c r="B77" s="111">
        <v>1</v>
      </c>
      <c r="C77" s="114">
        <v>70</v>
      </c>
      <c r="D77" s="112" t="s">
        <v>210</v>
      </c>
      <c r="E77" s="169">
        <v>78</v>
      </c>
      <c r="F77" s="113">
        <f>ROUND(E77*Valores!$C$2,2)</f>
        <v>7628.87</v>
      </c>
      <c r="G77" s="169">
        <v>1284</v>
      </c>
      <c r="H77" s="113">
        <f>ROUND(G77*Valores!$C$2,2)</f>
        <v>125582.9</v>
      </c>
      <c r="I77" s="169">
        <v>0</v>
      </c>
      <c r="J77" s="113">
        <f>ROUND(I77*Valores!$C$2,2)</f>
        <v>0</v>
      </c>
      <c r="K77" s="169">
        <v>0</v>
      </c>
      <c r="L77" s="113">
        <f>ROUND(K77*Valores!$C$2,2)</f>
        <v>0</v>
      </c>
      <c r="M77" s="113">
        <f>ROUND(IF($H$2=0,IF(AND(A77&lt;&gt;"13-930",A77&lt;&gt;"13-940"),(SUM(F77,H77,J77,L77,W77,S77,Q77)*Valores!$C$4),0),0),2)</f>
        <v>41985.74</v>
      </c>
      <c r="N77" s="113">
        <f t="shared" si="16"/>
        <v>0</v>
      </c>
      <c r="O77" s="113">
        <f>Valores!C$77</f>
        <v>214543.99</v>
      </c>
      <c r="P77" s="113">
        <f>Valores!$D$5</f>
        <v>49998.43</v>
      </c>
      <c r="Q77" s="113">
        <f>IF($F$4="NO",Valores!$C$23,Valores!$C$23/2)</f>
        <v>34731.18</v>
      </c>
      <c r="R77" s="113">
        <v>0</v>
      </c>
      <c r="S77" s="113">
        <f t="shared" si="21"/>
        <v>0</v>
      </c>
      <c r="T77" s="113">
        <v>0</v>
      </c>
      <c r="U77" s="113">
        <v>0</v>
      </c>
      <c r="V77" s="169">
        <v>0</v>
      </c>
      <c r="W77" s="113">
        <f>ROUND(V77*Valores!$C$2,2)</f>
        <v>0</v>
      </c>
      <c r="X77" s="113">
        <v>0</v>
      </c>
      <c r="Y77" s="188">
        <v>0</v>
      </c>
      <c r="Z77" s="113">
        <f t="shared" si="17"/>
        <v>0</v>
      </c>
      <c r="AA77" s="169">
        <v>0</v>
      </c>
      <c r="AB77" s="113">
        <f>ROUND(AA77*Valores!$C$2,2)</f>
        <v>0</v>
      </c>
      <c r="AC77" s="113">
        <f>ROUND(IF($F$4="NO",Valores!$C$32,Valores!$C$32/2),2)</f>
        <v>23377.77</v>
      </c>
      <c r="AD77" s="113">
        <f>SUM(F77,H77,J77,L77,M77,N77,O77,P77,Q77,S77,T77,U77,W77,X77,Z77,AB77,AC77)*Valores!$C$58</f>
        <v>49784.888000000006</v>
      </c>
      <c r="AE77" s="113">
        <f t="shared" si="18"/>
        <v>547633.76800000004</v>
      </c>
      <c r="AF77" s="113">
        <f>Valores!$C$11</f>
        <v>36428</v>
      </c>
      <c r="AG77" s="113">
        <f>Valores!$C$59</f>
        <v>25000</v>
      </c>
      <c r="AH77" s="113">
        <f t="shared" si="14"/>
        <v>61428</v>
      </c>
      <c r="AI77" s="113">
        <f>AE77*Valores!$C$39</f>
        <v>-60239.714480000002</v>
      </c>
      <c r="AJ77" s="113">
        <f>IF(AE77&lt;Valores!$E$40,-0.02,IF(AE77&lt;Valores!$F$40,-0.03,-0.04))*AE77</f>
        <v>-10952.675360000001</v>
      </c>
      <c r="AK77" s="113">
        <f>AE77*Valores!$C$42</f>
        <v>-30119.857240000001</v>
      </c>
      <c r="AL77" s="113">
        <f>Valores!$C$56</f>
        <v>-1270.1600000000001</v>
      </c>
      <c r="AM77" s="113">
        <f>IF($F$5=0,Valores!$C$57,(Valores!$C$57+$F$5*(Valores!$C$57)))</f>
        <v>-7026</v>
      </c>
      <c r="AN77" s="113">
        <f t="shared" si="19"/>
        <v>499453.36092000001</v>
      </c>
      <c r="AO77" s="113">
        <f t="shared" si="13"/>
        <v>-60239.714480000002</v>
      </c>
      <c r="AP77" s="113">
        <f t="shared" si="20"/>
        <v>-10952.675360000001</v>
      </c>
      <c r="AQ77" s="113">
        <f>AE77*Valores!$C$43</f>
        <v>-14786.111736000001</v>
      </c>
      <c r="AR77" s="113">
        <f>AE77*Valores!$C$44</f>
        <v>-1642.9013040000002</v>
      </c>
      <c r="AS77" s="113">
        <f t="shared" si="15"/>
        <v>521440.36512000003</v>
      </c>
      <c r="AT77" s="113">
        <f>AE77*Valores!$C$46</f>
        <v>87621.402880000009</v>
      </c>
      <c r="AU77" s="113">
        <f>AE77*Valores!$C$47</f>
        <v>38334.363760000007</v>
      </c>
      <c r="AV77" s="113">
        <f>AE77*Valores!$C$48</f>
        <v>5476.3376800000005</v>
      </c>
      <c r="AW77" s="113">
        <f>AE77*Valores!$C$50</f>
        <v>19167.181880000004</v>
      </c>
      <c r="AX77" s="113">
        <f>AE77*Valores!$C$52</f>
        <v>29572.223472000001</v>
      </c>
      <c r="AY77" s="113">
        <f>AE77*Valores!$C$51</f>
        <v>3285.8026080000004</v>
      </c>
      <c r="AZ77" s="114"/>
      <c r="BA77" s="114"/>
      <c r="BB77" s="111" t="s">
        <v>8</v>
      </c>
    </row>
    <row r="78" spans="1:54" s="100" customFormat="1" ht="11.25" customHeight="1" x14ac:dyDescent="0.15">
      <c r="A78" s="111" t="s">
        <v>211</v>
      </c>
      <c r="B78" s="111">
        <v>1</v>
      </c>
      <c r="C78" s="114">
        <v>71</v>
      </c>
      <c r="D78" s="112" t="s">
        <v>212</v>
      </c>
      <c r="E78" s="169">
        <v>82</v>
      </c>
      <c r="F78" s="113">
        <f>ROUND(E78*Valores!$C$2,2)</f>
        <v>8020.09</v>
      </c>
      <c r="G78" s="169">
        <v>2038</v>
      </c>
      <c r="H78" s="113">
        <f>ROUND(G78*Valores!$C$2,2)</f>
        <v>199328.63</v>
      </c>
      <c r="I78" s="169">
        <v>0</v>
      </c>
      <c r="J78" s="113">
        <f>ROUND(I78*Valores!$C$2,2)</f>
        <v>0</v>
      </c>
      <c r="K78" s="169">
        <v>0</v>
      </c>
      <c r="L78" s="113">
        <f>ROUND(K78*Valores!$C$2,2)</f>
        <v>0</v>
      </c>
      <c r="M78" s="113">
        <f>ROUND(IF($H$2=0,IF(AND(A78&lt;&gt;"13-930",A78&lt;&gt;"13-940"),(SUM(F78,H78,J78,L78,W78,S78,Q78)*Valores!$C$4),0),0),2)</f>
        <v>72150.31</v>
      </c>
      <c r="N78" s="113">
        <f t="shared" si="16"/>
        <v>0</v>
      </c>
      <c r="O78" s="113">
        <f>Valores!C$82</f>
        <v>240052.44</v>
      </c>
      <c r="P78" s="113">
        <f>Valores!$D$5</f>
        <v>49998.43</v>
      </c>
      <c r="Q78" s="113">
        <f>IF($F$4="NO",Valores!$C$23,Valores!$C$23/2)</f>
        <v>34731.18</v>
      </c>
      <c r="R78" s="113">
        <f>Valores!$C$8</f>
        <v>46521.33</v>
      </c>
      <c r="S78" s="113">
        <f t="shared" si="21"/>
        <v>46521.33</v>
      </c>
      <c r="T78" s="113">
        <v>0</v>
      </c>
      <c r="U78" s="113">
        <v>0</v>
      </c>
      <c r="V78" s="169">
        <v>0</v>
      </c>
      <c r="W78" s="113">
        <f>ROUND(V78*Valores!$C$2,2)</f>
        <v>0</v>
      </c>
      <c r="X78" s="113">
        <v>0</v>
      </c>
      <c r="Y78" s="188">
        <v>0</v>
      </c>
      <c r="Z78" s="113">
        <f t="shared" si="17"/>
        <v>0</v>
      </c>
      <c r="AA78" s="169">
        <v>0</v>
      </c>
      <c r="AB78" s="113">
        <f>ROUND(AA78*Valores!$C$2,2)</f>
        <v>0</v>
      </c>
      <c r="AC78" s="113">
        <f>ROUND(IF($F$4="NO",Valores!$C$32,Valores!$C$32/2),2)</f>
        <v>23377.77</v>
      </c>
      <c r="AD78" s="113">
        <f>SUM(F78,H78,J78,L78,M78,N78,O78,P78,Q78,S78,T78,U78,W78,X78,Z78,AB78,AC78)*Valores!$C$58</f>
        <v>67418.018000000011</v>
      </c>
      <c r="AE78" s="113">
        <f t="shared" si="18"/>
        <v>741598.19800000009</v>
      </c>
      <c r="AF78" s="113">
        <f>Valores!$C$11</f>
        <v>36428</v>
      </c>
      <c r="AG78" s="113">
        <f>Valores!$C$59</f>
        <v>25000</v>
      </c>
      <c r="AH78" s="113">
        <f t="shared" si="14"/>
        <v>61428</v>
      </c>
      <c r="AI78" s="113">
        <f>AE78*Valores!$C$39</f>
        <v>-81575.801780000009</v>
      </c>
      <c r="AJ78" s="113">
        <f>IF(AE78&lt;Valores!$E$40,-0.02,IF(AE78&lt;Valores!$F$40,-0.03,-0.04))*AE78</f>
        <v>-14831.963960000003</v>
      </c>
      <c r="AK78" s="113">
        <f>AE78*Valores!$C$42</f>
        <v>-40787.900890000004</v>
      </c>
      <c r="AL78" s="113">
        <f>Valores!$C$56</f>
        <v>-1270.1600000000001</v>
      </c>
      <c r="AM78" s="113">
        <f>IF($F$5=0,Valores!$C$57,(Valores!$C$57+$F$5*(Valores!$C$57)))</f>
        <v>-7026</v>
      </c>
      <c r="AN78" s="113">
        <f t="shared" si="19"/>
        <v>657534.37137000007</v>
      </c>
      <c r="AO78" s="113">
        <f t="shared" si="13"/>
        <v>-81575.801780000009</v>
      </c>
      <c r="AP78" s="113">
        <f t="shared" si="20"/>
        <v>-14831.963960000003</v>
      </c>
      <c r="AQ78" s="113">
        <f>AE78*Valores!$C$43</f>
        <v>-20023.151346000002</v>
      </c>
      <c r="AR78" s="113">
        <f>AE78*Valores!$C$44</f>
        <v>-2224.7945940000004</v>
      </c>
      <c r="AS78" s="113">
        <f t="shared" si="15"/>
        <v>684370.48632000003</v>
      </c>
      <c r="AT78" s="113">
        <f>AE78*Valores!$C$46</f>
        <v>118655.71168000002</v>
      </c>
      <c r="AU78" s="113">
        <f>AE78*Valores!$C$47</f>
        <v>51911.873860000014</v>
      </c>
      <c r="AV78" s="113">
        <f>AE78*Valores!$C$48</f>
        <v>7415.9819800000014</v>
      </c>
      <c r="AW78" s="113">
        <f>AE78*Valores!$C$50</f>
        <v>25955.936930000007</v>
      </c>
      <c r="AX78" s="113">
        <f>AE78*Valores!$C$52</f>
        <v>40046.302692000005</v>
      </c>
      <c r="AY78" s="113">
        <f>AE78*Valores!$C$51</f>
        <v>4449.5891880000008</v>
      </c>
      <c r="AZ78" s="114"/>
      <c r="BA78" s="114">
        <v>25</v>
      </c>
      <c r="BB78" s="111" t="s">
        <v>4</v>
      </c>
    </row>
    <row r="79" spans="1:54" s="100" customFormat="1" ht="11.25" customHeight="1" x14ac:dyDescent="0.15">
      <c r="A79" s="111" t="s">
        <v>213</v>
      </c>
      <c r="B79" s="111">
        <v>1</v>
      </c>
      <c r="C79" s="114">
        <v>72</v>
      </c>
      <c r="D79" s="112" t="s">
        <v>214</v>
      </c>
      <c r="E79" s="169">
        <v>78</v>
      </c>
      <c r="F79" s="113">
        <f>ROUND(E79*Valores!$C$2,2)</f>
        <v>7628.87</v>
      </c>
      <c r="G79" s="169">
        <v>2072</v>
      </c>
      <c r="H79" s="113">
        <f>ROUND(G79*Valores!$C$2,2)</f>
        <v>202654.03</v>
      </c>
      <c r="I79" s="169">
        <v>0</v>
      </c>
      <c r="J79" s="113">
        <f>ROUND(I79*Valores!$C$2,2)</f>
        <v>0</v>
      </c>
      <c r="K79" s="169">
        <v>0</v>
      </c>
      <c r="L79" s="113">
        <f>ROUND(K79*Valores!$C$2,2)</f>
        <v>0</v>
      </c>
      <c r="M79" s="113">
        <f>ROUND(IF($H$2=0,IF(AND(A79&lt;&gt;"13-930",A79&lt;&gt;"13-940"),(SUM(F79,H79,J79,L79,W79,S79,Q79)*Valores!$C$4),0),0),2)</f>
        <v>73369.279999999999</v>
      </c>
      <c r="N79" s="113">
        <f t="shared" si="16"/>
        <v>0</v>
      </c>
      <c r="O79" s="113">
        <f>Valores!C$83</f>
        <v>253744.8</v>
      </c>
      <c r="P79" s="113">
        <f>Valores!$D$5</f>
        <v>49998.43</v>
      </c>
      <c r="Q79" s="113">
        <f>IF($F$4="NO",Valores!$C$24,Valores!$C$24/2)</f>
        <v>36672.879999999997</v>
      </c>
      <c r="R79" s="113">
        <f>Valores!$C$8</f>
        <v>46521.33</v>
      </c>
      <c r="S79" s="113">
        <f t="shared" si="21"/>
        <v>46521.33</v>
      </c>
      <c r="T79" s="113">
        <v>0</v>
      </c>
      <c r="U79" s="113">
        <v>0</v>
      </c>
      <c r="V79" s="169">
        <v>0</v>
      </c>
      <c r="W79" s="113">
        <f>ROUND(V79*Valores!$C$2,2)</f>
        <v>0</v>
      </c>
      <c r="X79" s="113">
        <v>0</v>
      </c>
      <c r="Y79" s="188">
        <v>0</v>
      </c>
      <c r="Z79" s="113">
        <f t="shared" si="17"/>
        <v>0</v>
      </c>
      <c r="AA79" s="169">
        <v>0</v>
      </c>
      <c r="AB79" s="113">
        <f>ROUND(AA79*Valores!$C$2,2)</f>
        <v>0</v>
      </c>
      <c r="AC79" s="113">
        <f>ROUND(IF($F$4="NO",Valores!$C$32,Valores!$C$32/2),2)</f>
        <v>23377.77</v>
      </c>
      <c r="AD79" s="113">
        <f>SUM(F79,H79,J79,L79,M79,N79,O79,P79,Q79,S79,T79,U79,W79,X79,Z79,AB79,AC79)*Valores!$C$58</f>
        <v>69396.739000000001</v>
      </c>
      <c r="AE79" s="113">
        <f t="shared" si="18"/>
        <v>763364.12899999996</v>
      </c>
      <c r="AF79" s="113">
        <f>Valores!$C$11</f>
        <v>36428</v>
      </c>
      <c r="AG79" s="113">
        <f>Valores!$C$59</f>
        <v>25000</v>
      </c>
      <c r="AH79" s="113">
        <f t="shared" si="14"/>
        <v>61428</v>
      </c>
      <c r="AI79" s="113">
        <f>AE79*Valores!$C$39</f>
        <v>-83970.054189999995</v>
      </c>
      <c r="AJ79" s="113">
        <f>IF(AE79&lt;Valores!$E$40,-0.02,IF(AE79&lt;Valores!$F$40,-0.03,-0.04))*AE79</f>
        <v>-22900.923869999999</v>
      </c>
      <c r="AK79" s="113">
        <f>AE79*Valores!$C$42</f>
        <v>-41985.027094999998</v>
      </c>
      <c r="AL79" s="113">
        <f>Valores!$C$56</f>
        <v>-1270.1600000000001</v>
      </c>
      <c r="AM79" s="113">
        <f>IF($F$5=0,Valores!$C$57,(Valores!$C$57+$F$5*(Valores!$C$57)))</f>
        <v>-7026</v>
      </c>
      <c r="AN79" s="113">
        <f t="shared" si="19"/>
        <v>667639.9638449999</v>
      </c>
      <c r="AO79" s="113">
        <f t="shared" si="13"/>
        <v>-83970.054189999995</v>
      </c>
      <c r="AP79" s="113">
        <f t="shared" si="20"/>
        <v>-22900.923869999999</v>
      </c>
      <c r="AQ79" s="113">
        <f>AE79*Valores!$C$43</f>
        <v>-20610.831482999998</v>
      </c>
      <c r="AR79" s="113">
        <f>AE79*Valores!$C$44</f>
        <v>-2290.0923870000001</v>
      </c>
      <c r="AS79" s="113">
        <f t="shared" si="15"/>
        <v>695020.22707000002</v>
      </c>
      <c r="AT79" s="113">
        <f>AE79*Valores!$C$46</f>
        <v>122138.26063999999</v>
      </c>
      <c r="AU79" s="113">
        <f>AE79*Valores!$C$47</f>
        <v>53435.489030000004</v>
      </c>
      <c r="AV79" s="113">
        <f>AE79*Valores!$C$48</f>
        <v>7633.6412899999996</v>
      </c>
      <c r="AW79" s="113">
        <f>AE79*Valores!$C$50</f>
        <v>26717.744515000002</v>
      </c>
      <c r="AX79" s="113">
        <f>AE79*Valores!$C$52</f>
        <v>41221.662965999996</v>
      </c>
      <c r="AY79" s="113">
        <f>AE79*Valores!$C$51</f>
        <v>4580.1847740000003</v>
      </c>
      <c r="AZ79" s="114"/>
      <c r="BA79" s="114">
        <v>30</v>
      </c>
      <c r="BB79" s="111" t="s">
        <v>4</v>
      </c>
    </row>
    <row r="80" spans="1:54" s="100" customFormat="1" ht="11.25" customHeight="1" x14ac:dyDescent="0.15">
      <c r="A80" s="111" t="s">
        <v>215</v>
      </c>
      <c r="B80" s="111">
        <v>1</v>
      </c>
      <c r="C80" s="114">
        <v>73</v>
      </c>
      <c r="D80" s="112" t="s">
        <v>216</v>
      </c>
      <c r="E80" s="169">
        <v>78</v>
      </c>
      <c r="F80" s="113">
        <f>ROUND(E80*Valores!$C$2,2)</f>
        <v>7628.87</v>
      </c>
      <c r="G80" s="169">
        <v>1770</v>
      </c>
      <c r="H80" s="113">
        <f>ROUND(G80*Valores!$C$2,2)</f>
        <v>173116.62</v>
      </c>
      <c r="I80" s="169">
        <v>0</v>
      </c>
      <c r="J80" s="113">
        <f>ROUND(I80*Valores!$C$2,2)</f>
        <v>0</v>
      </c>
      <c r="K80" s="169">
        <v>0</v>
      </c>
      <c r="L80" s="113">
        <f>ROUND(K80*Valores!$C$2,2)</f>
        <v>0</v>
      </c>
      <c r="M80" s="113">
        <f>ROUND(IF($H$2=0,IF(AND(A80&lt;&gt;"13-930",A80&lt;&gt;"13-940"),(SUM(F80,H80,J80,L80,W80,S80,Q80)*Valores!$C$4),0),0),2)</f>
        <v>65984.929999999993</v>
      </c>
      <c r="N80" s="113">
        <f t="shared" si="16"/>
        <v>0</v>
      </c>
      <c r="O80" s="113">
        <f>Valores!C$83</f>
        <v>253744.8</v>
      </c>
      <c r="P80" s="113">
        <f>Valores!$D$5</f>
        <v>49998.43</v>
      </c>
      <c r="Q80" s="113">
        <f>IF($F$4="NO",Valores!$C$24,Valores!$C$24/2)</f>
        <v>36672.879999999997</v>
      </c>
      <c r="R80" s="113">
        <f>Valores!$C$8</f>
        <v>46521.33</v>
      </c>
      <c r="S80" s="113">
        <f t="shared" si="21"/>
        <v>46521.33</v>
      </c>
      <c r="T80" s="113">
        <v>0</v>
      </c>
      <c r="U80" s="113">
        <v>0</v>
      </c>
      <c r="V80" s="169">
        <v>0</v>
      </c>
      <c r="W80" s="113">
        <f>ROUND(V80*Valores!$C$2,2)</f>
        <v>0</v>
      </c>
      <c r="X80" s="113">
        <v>0</v>
      </c>
      <c r="Y80" s="188">
        <v>0</v>
      </c>
      <c r="Z80" s="113">
        <f t="shared" si="17"/>
        <v>0</v>
      </c>
      <c r="AA80" s="169">
        <v>0</v>
      </c>
      <c r="AB80" s="113">
        <f>ROUND(AA80*Valores!$C$2,2)</f>
        <v>0</v>
      </c>
      <c r="AC80" s="113">
        <f>ROUND(IF($F$4="NO",Valores!$C$32,Valores!$C$32/2),2)</f>
        <v>23377.77</v>
      </c>
      <c r="AD80" s="113">
        <f>SUM(F80,H80,J80,L80,M80,N80,O80,P80,Q80,S80,T80,U80,W80,X80,Z80,AB80,AC80)*Valores!$C$58</f>
        <v>65704.563000000009</v>
      </c>
      <c r="AE80" s="113">
        <f t="shared" si="18"/>
        <v>722750.19299999997</v>
      </c>
      <c r="AF80" s="113">
        <f>Valores!$C$11</f>
        <v>36428</v>
      </c>
      <c r="AG80" s="113">
        <f>Valores!$C$59</f>
        <v>25000</v>
      </c>
      <c r="AH80" s="113">
        <f t="shared" si="14"/>
        <v>61428</v>
      </c>
      <c r="AI80" s="113">
        <f>AE80*Valores!$C$39</f>
        <v>-79502.521229999998</v>
      </c>
      <c r="AJ80" s="113">
        <f>IF(AE80&lt;Valores!$E$40,-0.02,IF(AE80&lt;Valores!$F$40,-0.03,-0.04))*AE80</f>
        <v>-14455.003859999999</v>
      </c>
      <c r="AK80" s="113">
        <f>AE80*Valores!$C$42</f>
        <v>-39751.260614999999</v>
      </c>
      <c r="AL80" s="113">
        <f>Valores!$C$56</f>
        <v>-1270.1600000000001</v>
      </c>
      <c r="AM80" s="113">
        <f>IF($F$5=0,Valores!$C$57,(Valores!$C$57+$F$5*(Valores!$C$57)))</f>
        <v>-7026</v>
      </c>
      <c r="AN80" s="113">
        <f t="shared" si="19"/>
        <v>642173.24729500001</v>
      </c>
      <c r="AO80" s="113">
        <f t="shared" si="13"/>
        <v>-79502.521229999998</v>
      </c>
      <c r="AP80" s="113">
        <f t="shared" si="20"/>
        <v>-14455.003859999999</v>
      </c>
      <c r="AQ80" s="113">
        <f>AE80*Valores!$C$43</f>
        <v>-19514.255211</v>
      </c>
      <c r="AR80" s="113">
        <f>AE80*Valores!$C$44</f>
        <v>-2168.250579</v>
      </c>
      <c r="AS80" s="113">
        <f t="shared" si="15"/>
        <v>668538.16211999999</v>
      </c>
      <c r="AT80" s="113">
        <f>AE80*Valores!$C$46</f>
        <v>115640.03087999999</v>
      </c>
      <c r="AU80" s="113">
        <f>AE80*Valores!$C$47</f>
        <v>50592.513510000004</v>
      </c>
      <c r="AV80" s="113">
        <f>AE80*Valores!$C$48</f>
        <v>7227.5019299999994</v>
      </c>
      <c r="AW80" s="113">
        <f>AE80*Valores!$C$50</f>
        <v>25296.256755000002</v>
      </c>
      <c r="AX80" s="113">
        <f>AE80*Valores!$C$52</f>
        <v>39028.510421999999</v>
      </c>
      <c r="AY80" s="113">
        <f>AE80*Valores!$C$51</f>
        <v>4336.501158</v>
      </c>
      <c r="AZ80" s="114"/>
      <c r="BA80" s="114"/>
      <c r="BB80" s="111" t="s">
        <v>4</v>
      </c>
    </row>
    <row r="81" spans="1:54" s="100" customFormat="1" ht="11.25" customHeight="1" x14ac:dyDescent="0.15">
      <c r="A81" s="111" t="s">
        <v>217</v>
      </c>
      <c r="B81" s="111">
        <v>1</v>
      </c>
      <c r="C81" s="114">
        <v>74</v>
      </c>
      <c r="D81" s="112" t="s">
        <v>218</v>
      </c>
      <c r="E81" s="169">
        <v>77</v>
      </c>
      <c r="F81" s="113">
        <f>ROUND(E81*Valores!$C$2,2)</f>
        <v>7531.06</v>
      </c>
      <c r="G81" s="169">
        <v>2073</v>
      </c>
      <c r="H81" s="113">
        <f>ROUND(G81*Valores!$C$2,2)</f>
        <v>202751.84</v>
      </c>
      <c r="I81" s="169">
        <v>0</v>
      </c>
      <c r="J81" s="113">
        <f>ROUND(I81*Valores!$C$2,2)</f>
        <v>0</v>
      </c>
      <c r="K81" s="169">
        <v>0</v>
      </c>
      <c r="L81" s="113">
        <f>ROUND(K81*Valores!$C$2,2)</f>
        <v>0</v>
      </c>
      <c r="M81" s="113">
        <f>ROUND(IF($H$2=0,IF(AND(A81&lt;&gt;"13-930",A81&lt;&gt;"13-940"),(SUM(F81,H81,J81,L81,W81,S81,Q81)*Valores!$C$4),0),0),2)</f>
        <v>73369.279999999999</v>
      </c>
      <c r="N81" s="113">
        <f t="shared" si="16"/>
        <v>0</v>
      </c>
      <c r="O81" s="113">
        <f>Valores!C$83</f>
        <v>253744.8</v>
      </c>
      <c r="P81" s="113">
        <f>Valores!$D$5</f>
        <v>49998.43</v>
      </c>
      <c r="Q81" s="113">
        <f>IF($F$4="NO",Valores!$C$24,Valores!$C$24/2)</f>
        <v>36672.879999999997</v>
      </c>
      <c r="R81" s="113">
        <f>Valores!$C$8</f>
        <v>46521.33</v>
      </c>
      <c r="S81" s="113">
        <f t="shared" si="21"/>
        <v>46521.33</v>
      </c>
      <c r="T81" s="113">
        <v>0</v>
      </c>
      <c r="U81" s="113">
        <v>0</v>
      </c>
      <c r="V81" s="169">
        <v>0</v>
      </c>
      <c r="W81" s="113">
        <f>ROUND(V81*Valores!$C$2,2)</f>
        <v>0</v>
      </c>
      <c r="X81" s="113">
        <v>0</v>
      </c>
      <c r="Y81" s="188">
        <v>0</v>
      </c>
      <c r="Z81" s="113">
        <f t="shared" si="17"/>
        <v>0</v>
      </c>
      <c r="AA81" s="169">
        <v>0</v>
      </c>
      <c r="AB81" s="113">
        <f>ROUND(AA81*Valores!$C$2,2)</f>
        <v>0</v>
      </c>
      <c r="AC81" s="113">
        <f>ROUND(IF($F$4="NO",Valores!$C$32,Valores!$C$32/2),2)</f>
        <v>23377.77</v>
      </c>
      <c r="AD81" s="113">
        <f>SUM(F81,H81,J81,L81,M81,N81,O81,P81,Q81,S81,T81,U81,W81,X81,Z81,AB81,AC81)*Valores!$C$58</f>
        <v>69396.739000000001</v>
      </c>
      <c r="AE81" s="113">
        <f t="shared" si="18"/>
        <v>763364.12899999996</v>
      </c>
      <c r="AF81" s="113">
        <f>Valores!$C$11</f>
        <v>36428</v>
      </c>
      <c r="AG81" s="113">
        <f>Valores!$C$59</f>
        <v>25000</v>
      </c>
      <c r="AH81" s="113">
        <f t="shared" si="14"/>
        <v>61428</v>
      </c>
      <c r="AI81" s="113">
        <f>AE81*Valores!$C$39</f>
        <v>-83970.054189999995</v>
      </c>
      <c r="AJ81" s="113">
        <f>IF(AE81&lt;Valores!$E$40,-0.02,IF(AE81&lt;Valores!$F$40,-0.03,-0.04))*AE81</f>
        <v>-22900.923869999999</v>
      </c>
      <c r="AK81" s="113">
        <f>AE81*Valores!$C$42</f>
        <v>-41985.027094999998</v>
      </c>
      <c r="AL81" s="113">
        <f>Valores!$C$56</f>
        <v>-1270.1600000000001</v>
      </c>
      <c r="AM81" s="113">
        <f>IF($F$5=0,Valores!$C$57,(Valores!$C$57+$F$5*(Valores!$C$57)))</f>
        <v>-7026</v>
      </c>
      <c r="AN81" s="113">
        <f t="shared" si="19"/>
        <v>667639.9638449999</v>
      </c>
      <c r="AO81" s="113">
        <f t="shared" si="13"/>
        <v>-83970.054189999995</v>
      </c>
      <c r="AP81" s="113">
        <f t="shared" si="20"/>
        <v>-22900.923869999999</v>
      </c>
      <c r="AQ81" s="113">
        <f>AE81*Valores!$C$43</f>
        <v>-20610.831482999998</v>
      </c>
      <c r="AR81" s="113">
        <f>AE81*Valores!$C$44</f>
        <v>-2290.0923870000001</v>
      </c>
      <c r="AS81" s="113">
        <f t="shared" si="15"/>
        <v>695020.22707000002</v>
      </c>
      <c r="AT81" s="113">
        <f>AE81*Valores!$C$46</f>
        <v>122138.26063999999</v>
      </c>
      <c r="AU81" s="113">
        <f>AE81*Valores!$C$47</f>
        <v>53435.489030000004</v>
      </c>
      <c r="AV81" s="113">
        <f>AE81*Valores!$C$48</f>
        <v>7633.6412899999996</v>
      </c>
      <c r="AW81" s="113">
        <f>AE81*Valores!$C$50</f>
        <v>26717.744515000002</v>
      </c>
      <c r="AX81" s="113">
        <f>AE81*Valores!$C$52</f>
        <v>41221.662965999996</v>
      </c>
      <c r="AY81" s="113">
        <f>AE81*Valores!$C$51</f>
        <v>4580.1847740000003</v>
      </c>
      <c r="AZ81" s="114"/>
      <c r="BA81" s="114">
        <v>25</v>
      </c>
      <c r="BB81" s="111" t="s">
        <v>8</v>
      </c>
    </row>
    <row r="82" spans="1:54" s="100" customFormat="1" ht="11.25" customHeight="1" x14ac:dyDescent="0.15">
      <c r="A82" s="111" t="s">
        <v>219</v>
      </c>
      <c r="B82" s="111">
        <v>1</v>
      </c>
      <c r="C82" s="114">
        <v>75</v>
      </c>
      <c r="D82" s="112" t="s">
        <v>220</v>
      </c>
      <c r="E82" s="169">
        <v>76</v>
      </c>
      <c r="F82" s="113">
        <f>ROUND(E82*Valores!$C$2,2)</f>
        <v>7433.26</v>
      </c>
      <c r="G82" s="169">
        <v>1872</v>
      </c>
      <c r="H82" s="113">
        <f>ROUND(G82*Valores!$C$2,2)</f>
        <v>183092.83</v>
      </c>
      <c r="I82" s="169">
        <v>0</v>
      </c>
      <c r="J82" s="113">
        <f>ROUND(I82*Valores!$C$2,2)</f>
        <v>0</v>
      </c>
      <c r="K82" s="169">
        <v>0</v>
      </c>
      <c r="L82" s="113">
        <f>ROUND(K82*Valores!$C$2,2)</f>
        <v>0</v>
      </c>
      <c r="M82" s="113">
        <f>ROUND(IF($H$2=0,IF(AND(A82&lt;&gt;"13-930",A82&lt;&gt;"13-940"),(SUM(F82,H82,J82,L82,W82,S82,Q82)*Valores!$C$4),0),0),2)</f>
        <v>68430.080000000002</v>
      </c>
      <c r="N82" s="113">
        <f t="shared" si="16"/>
        <v>0</v>
      </c>
      <c r="O82" s="113">
        <f>Valores!C$76</f>
        <v>209141.1</v>
      </c>
      <c r="P82" s="113">
        <f>Valores!$D$5</f>
        <v>49998.43</v>
      </c>
      <c r="Q82" s="113">
        <f>IF($F$4="NO",Valores!$C$24,Valores!$C$24/2)</f>
        <v>36672.879999999997</v>
      </c>
      <c r="R82" s="113">
        <f>Valores!$C$8</f>
        <v>46521.33</v>
      </c>
      <c r="S82" s="113">
        <f t="shared" si="21"/>
        <v>46521.33</v>
      </c>
      <c r="T82" s="113">
        <v>0</v>
      </c>
      <c r="U82" s="113">
        <v>0</v>
      </c>
      <c r="V82" s="169">
        <v>0</v>
      </c>
      <c r="W82" s="113">
        <f>ROUND(V82*Valores!$C$2,2)</f>
        <v>0</v>
      </c>
      <c r="X82" s="113">
        <v>0</v>
      </c>
      <c r="Y82" s="188">
        <v>0</v>
      </c>
      <c r="Z82" s="113">
        <f t="shared" si="17"/>
        <v>0</v>
      </c>
      <c r="AA82" s="169">
        <v>0</v>
      </c>
      <c r="AB82" s="113">
        <f>ROUND(AA82*Valores!$C$2,2)</f>
        <v>0</v>
      </c>
      <c r="AC82" s="113">
        <f>ROUND(IF($F$4="NO",Valores!$C$32,Valores!$C$32/2),2)</f>
        <v>23377.77</v>
      </c>
      <c r="AD82" s="113">
        <f>SUM(F82,H82,J82,L82,M82,N82,O82,P82,Q82,S82,T82,U82,W82,X82,Z82,AB82,AC82)*Valores!$C$58</f>
        <v>62466.767999999996</v>
      </c>
      <c r="AE82" s="113">
        <f t="shared" si="18"/>
        <v>687134.44799999997</v>
      </c>
      <c r="AF82" s="113">
        <f>Valores!$C$11</f>
        <v>36428</v>
      </c>
      <c r="AG82" s="113">
        <f>Valores!$C$59</f>
        <v>25000</v>
      </c>
      <c r="AH82" s="113">
        <f t="shared" si="14"/>
        <v>61428</v>
      </c>
      <c r="AI82" s="113">
        <f>AE82*Valores!$C$39</f>
        <v>-75584.789279999997</v>
      </c>
      <c r="AJ82" s="113">
        <f>IF(AE82&lt;Valores!$E$40,-0.02,IF(AE82&lt;Valores!$F$40,-0.03,-0.04))*AE82</f>
        <v>-13742.688959999999</v>
      </c>
      <c r="AK82" s="113">
        <f>AE82*Valores!$C$42</f>
        <v>-37792.394639999999</v>
      </c>
      <c r="AL82" s="113">
        <f>Valores!$C$56</f>
        <v>-1270.1600000000001</v>
      </c>
      <c r="AM82" s="113">
        <f>IF($F$5=0,Valores!$C$57,(Valores!$C$57+$F$5*(Valores!$C$57)))</f>
        <v>-7026</v>
      </c>
      <c r="AN82" s="113">
        <f t="shared" si="19"/>
        <v>613146.41512000002</v>
      </c>
      <c r="AO82" s="113">
        <f t="shared" si="13"/>
        <v>-75584.789279999997</v>
      </c>
      <c r="AP82" s="113">
        <f t="shared" si="20"/>
        <v>-13742.688959999999</v>
      </c>
      <c r="AQ82" s="113">
        <f>AE82*Valores!$C$43</f>
        <v>-18552.630096000001</v>
      </c>
      <c r="AR82" s="113">
        <f>AE82*Valores!$C$44</f>
        <v>-2061.4033439999998</v>
      </c>
      <c r="AS82" s="113">
        <f t="shared" si="15"/>
        <v>638620.93631999998</v>
      </c>
      <c r="AT82" s="113">
        <f>AE82*Valores!$C$46</f>
        <v>109941.51168</v>
      </c>
      <c r="AU82" s="113">
        <f>AE82*Valores!$C$47</f>
        <v>48099.411360000006</v>
      </c>
      <c r="AV82" s="113">
        <f>AE82*Valores!$C$48</f>
        <v>6871.3444799999997</v>
      </c>
      <c r="AW82" s="113">
        <f>AE82*Valores!$C$50</f>
        <v>24049.705680000003</v>
      </c>
      <c r="AX82" s="113">
        <f>AE82*Valores!$C$52</f>
        <v>37105.260192000002</v>
      </c>
      <c r="AY82" s="113">
        <f>AE82*Valores!$C$51</f>
        <v>4122.8066879999997</v>
      </c>
      <c r="AZ82" s="114"/>
      <c r="BA82" s="114">
        <v>30</v>
      </c>
      <c r="BB82" s="111" t="s">
        <v>8</v>
      </c>
    </row>
    <row r="83" spans="1:54" s="100" customFormat="1" ht="11.25" customHeight="1" x14ac:dyDescent="0.15">
      <c r="A83" s="111" t="s">
        <v>221</v>
      </c>
      <c r="B83" s="111">
        <v>1</v>
      </c>
      <c r="C83" s="114">
        <v>76</v>
      </c>
      <c r="D83" s="112" t="s">
        <v>222</v>
      </c>
      <c r="E83" s="169">
        <v>75</v>
      </c>
      <c r="F83" s="113">
        <f>ROUND(E83*Valores!$C$2,2)</f>
        <v>7335.45</v>
      </c>
      <c r="G83" s="169">
        <v>1873</v>
      </c>
      <c r="H83" s="113">
        <f>ROUND(G83*Valores!$C$2,2)</f>
        <v>183190.64</v>
      </c>
      <c r="I83" s="169">
        <v>0</v>
      </c>
      <c r="J83" s="113">
        <f>ROUND(I83*Valores!$C$2,2)</f>
        <v>0</v>
      </c>
      <c r="K83" s="169">
        <v>0</v>
      </c>
      <c r="L83" s="113">
        <f>ROUND(K83*Valores!$C$2,2)</f>
        <v>0</v>
      </c>
      <c r="M83" s="113">
        <f>ROUND(IF($H$2=0,IF(AND(A83&lt;&gt;"13-930",A83&lt;&gt;"13-940"),(SUM(F83,H83,J83,L83,W83,S83,Q83)*Valores!$C$4),0),0),2)</f>
        <v>68430.080000000002</v>
      </c>
      <c r="N83" s="113">
        <f t="shared" si="16"/>
        <v>0</v>
      </c>
      <c r="O83" s="113">
        <f>Valores!C$83</f>
        <v>253744.8</v>
      </c>
      <c r="P83" s="113">
        <f>Valores!$D$5</f>
        <v>49998.43</v>
      </c>
      <c r="Q83" s="113">
        <f>IF($F$4="NO",Valores!$C$24,Valores!$C$24/2)</f>
        <v>36672.879999999997</v>
      </c>
      <c r="R83" s="113">
        <f>Valores!$C$8</f>
        <v>46521.33</v>
      </c>
      <c r="S83" s="113">
        <f t="shared" si="21"/>
        <v>46521.33</v>
      </c>
      <c r="T83" s="113">
        <v>0</v>
      </c>
      <c r="U83" s="113">
        <v>0</v>
      </c>
      <c r="V83" s="169">
        <v>0</v>
      </c>
      <c r="W83" s="113">
        <f>ROUND(V83*Valores!$C$2,2)</f>
        <v>0</v>
      </c>
      <c r="X83" s="113">
        <v>0</v>
      </c>
      <c r="Y83" s="188">
        <v>0</v>
      </c>
      <c r="Z83" s="113">
        <f t="shared" si="17"/>
        <v>0</v>
      </c>
      <c r="AA83" s="169">
        <v>0</v>
      </c>
      <c r="AB83" s="113">
        <f>ROUND(AA83*Valores!$C$2,2)</f>
        <v>0</v>
      </c>
      <c r="AC83" s="113">
        <f>ROUND(IF($F$4="NO",Valores!$C$32,Valores!$C$32/2),2)</f>
        <v>23377.77</v>
      </c>
      <c r="AD83" s="113">
        <f>SUM(F83,H83,J83,L83,M83,N83,O83,P83,Q83,S83,T83,U83,W83,X83,Z83,AB83,AC83)*Valores!$C$58</f>
        <v>66927.138000000006</v>
      </c>
      <c r="AE83" s="113">
        <f t="shared" si="18"/>
        <v>736198.51800000004</v>
      </c>
      <c r="AF83" s="113">
        <f>Valores!$C$11</f>
        <v>36428</v>
      </c>
      <c r="AG83" s="113">
        <f>Valores!$C$59</f>
        <v>25000</v>
      </c>
      <c r="AH83" s="113">
        <f t="shared" si="14"/>
        <v>61428</v>
      </c>
      <c r="AI83" s="113">
        <f>AE83*Valores!$C$39</f>
        <v>-80981.836980000007</v>
      </c>
      <c r="AJ83" s="113">
        <f>IF(AE83&lt;Valores!$E$40,-0.02,IF(AE83&lt;Valores!$F$40,-0.03,-0.04))*AE83</f>
        <v>-14723.970360000001</v>
      </c>
      <c r="AK83" s="113">
        <f>AE83*Valores!$C$42</f>
        <v>-40490.918490000004</v>
      </c>
      <c r="AL83" s="113">
        <f>Valores!$C$56</f>
        <v>-1270.1600000000001</v>
      </c>
      <c r="AM83" s="113">
        <f>IF($F$5=0,Valores!$C$57,(Valores!$C$57+$F$5*(Valores!$C$57)))</f>
        <v>-7026</v>
      </c>
      <c r="AN83" s="113">
        <f t="shared" si="19"/>
        <v>653133.63217</v>
      </c>
      <c r="AO83" s="113">
        <f t="shared" si="13"/>
        <v>-80981.836980000007</v>
      </c>
      <c r="AP83" s="113">
        <f t="shared" si="20"/>
        <v>-14723.970360000001</v>
      </c>
      <c r="AQ83" s="113">
        <f>AE83*Valores!$C$43</f>
        <v>-19877.359985999999</v>
      </c>
      <c r="AR83" s="113">
        <f>AE83*Valores!$C$44</f>
        <v>-2208.595554</v>
      </c>
      <c r="AS83" s="113">
        <f t="shared" si="15"/>
        <v>679834.75511999999</v>
      </c>
      <c r="AT83" s="113">
        <f>AE83*Valores!$C$46</f>
        <v>117791.76288000001</v>
      </c>
      <c r="AU83" s="113">
        <f>AE83*Valores!$C$47</f>
        <v>51533.896260000009</v>
      </c>
      <c r="AV83" s="113">
        <f>AE83*Valores!$C$48</f>
        <v>7361.9851800000006</v>
      </c>
      <c r="AW83" s="113">
        <f>AE83*Valores!$C$50</f>
        <v>25766.948130000004</v>
      </c>
      <c r="AX83" s="113">
        <f>AE83*Valores!$C$52</f>
        <v>39754.719971999999</v>
      </c>
      <c r="AY83" s="113">
        <f>AE83*Valores!$C$51</f>
        <v>4417.191108</v>
      </c>
      <c r="AZ83" s="114"/>
      <c r="BA83" s="114">
        <v>25</v>
      </c>
      <c r="BB83" s="111" t="s">
        <v>4</v>
      </c>
    </row>
    <row r="84" spans="1:54" s="100" customFormat="1" ht="11.25" customHeight="1" x14ac:dyDescent="0.15">
      <c r="A84" s="111" t="s">
        <v>223</v>
      </c>
      <c r="B84" s="111">
        <v>1</v>
      </c>
      <c r="C84" s="114">
        <v>77</v>
      </c>
      <c r="D84" s="112" t="s">
        <v>224</v>
      </c>
      <c r="E84" s="169">
        <v>76</v>
      </c>
      <c r="F84" s="113">
        <f>ROUND(E84*Valores!$C$2,2)</f>
        <v>7433.26</v>
      </c>
      <c r="G84" s="169">
        <v>1752</v>
      </c>
      <c r="H84" s="113">
        <f>ROUND(G84*Valores!$C$2,2)</f>
        <v>171356.11</v>
      </c>
      <c r="I84" s="169">
        <v>0</v>
      </c>
      <c r="J84" s="113">
        <f>ROUND(I84*Valores!$C$2,2)</f>
        <v>0</v>
      </c>
      <c r="K84" s="169">
        <v>0</v>
      </c>
      <c r="L84" s="113">
        <f>ROUND(K84*Valores!$C$2,2)</f>
        <v>0</v>
      </c>
      <c r="M84" s="113">
        <f>ROUND(IF($H$2=0,IF(AND(A84&lt;&gt;"13-930",A84&lt;&gt;"13-940"),(SUM(F84,H84,J84,L84,W84,S84,Q84)*Valores!$C$4),0),0),2)</f>
        <v>65010.47</v>
      </c>
      <c r="N84" s="113">
        <f t="shared" si="16"/>
        <v>0</v>
      </c>
      <c r="O84" s="113">
        <f>Valores!C$81</f>
        <v>239735.67999999999</v>
      </c>
      <c r="P84" s="113">
        <f>Valores!$D$5</f>
        <v>49998.43</v>
      </c>
      <c r="Q84" s="113">
        <f>IF($F$4="NO",Valores!$C$23,Valores!$C$23/2)</f>
        <v>34731.18</v>
      </c>
      <c r="R84" s="113">
        <f>Valores!$C$8</f>
        <v>46521.33</v>
      </c>
      <c r="S84" s="113">
        <f t="shared" si="21"/>
        <v>46521.33</v>
      </c>
      <c r="T84" s="113">
        <v>0</v>
      </c>
      <c r="U84" s="113">
        <v>0</v>
      </c>
      <c r="V84" s="169">
        <v>0</v>
      </c>
      <c r="W84" s="113">
        <f>ROUND(V84*Valores!$C$2,2)</f>
        <v>0</v>
      </c>
      <c r="X84" s="113">
        <v>0</v>
      </c>
      <c r="Y84" s="188">
        <v>0</v>
      </c>
      <c r="Z84" s="113">
        <f t="shared" si="17"/>
        <v>0</v>
      </c>
      <c r="AA84" s="169">
        <v>0</v>
      </c>
      <c r="AB84" s="113">
        <f>ROUND(AA84*Valores!$C$2,2)</f>
        <v>0</v>
      </c>
      <c r="AC84" s="113">
        <f>ROUND(IF($F$4="NO",Valores!$C$32,Valores!$C$32/2),2)</f>
        <v>23377.77</v>
      </c>
      <c r="AD84" s="113">
        <f>SUM(F84,H84,J84,L84,M84,N84,O84,P84,Q84,S84,T84,U84,W84,X84,Z84,AB84,AC84)*Valores!$C$58</f>
        <v>63816.42300000001</v>
      </c>
      <c r="AE84" s="113">
        <f t="shared" si="18"/>
        <v>701980.65300000017</v>
      </c>
      <c r="AF84" s="113">
        <f>Valores!$C$11</f>
        <v>36428</v>
      </c>
      <c r="AG84" s="113">
        <f>Valores!$C$59</f>
        <v>25000</v>
      </c>
      <c r="AH84" s="113">
        <f t="shared" si="14"/>
        <v>61428</v>
      </c>
      <c r="AI84" s="113">
        <f>AE84*Valores!$C$39</f>
        <v>-77217.871830000018</v>
      </c>
      <c r="AJ84" s="113">
        <f>IF(AE84&lt;Valores!$E$40,-0.02,IF(AE84&lt;Valores!$F$40,-0.03,-0.04))*AE84</f>
        <v>-14039.613060000003</v>
      </c>
      <c r="AK84" s="113">
        <f>AE84*Valores!$C$42</f>
        <v>-38608.935915000009</v>
      </c>
      <c r="AL84" s="113">
        <f>Valores!$C$56</f>
        <v>-1270.1600000000001</v>
      </c>
      <c r="AM84" s="113">
        <f>IF($F$5=0,Valores!$C$57,(Valores!$C$57+$F$5*(Valores!$C$57)))</f>
        <v>-7026</v>
      </c>
      <c r="AN84" s="113">
        <f t="shared" si="19"/>
        <v>625246.07219500013</v>
      </c>
      <c r="AO84" s="113">
        <f t="shared" si="13"/>
        <v>-77217.871830000018</v>
      </c>
      <c r="AP84" s="113">
        <f t="shared" si="20"/>
        <v>-14039.613060000003</v>
      </c>
      <c r="AQ84" s="113">
        <f>AE84*Valores!$C$43</f>
        <v>-18953.477631000005</v>
      </c>
      <c r="AR84" s="113">
        <f>AE84*Valores!$C$44</f>
        <v>-2105.9419590000007</v>
      </c>
      <c r="AS84" s="113">
        <f t="shared" si="15"/>
        <v>651091.74852000014</v>
      </c>
      <c r="AT84" s="113">
        <f>AE84*Valores!$C$46</f>
        <v>112316.90448000003</v>
      </c>
      <c r="AU84" s="113">
        <f>AE84*Valores!$C$47</f>
        <v>49138.645710000019</v>
      </c>
      <c r="AV84" s="113">
        <f>AE84*Valores!$C$48</f>
        <v>7019.8065300000017</v>
      </c>
      <c r="AW84" s="113">
        <f>AE84*Valores!$C$50</f>
        <v>24569.322855000009</v>
      </c>
      <c r="AX84" s="113">
        <f>AE84*Valores!$C$52</f>
        <v>37906.95526200001</v>
      </c>
      <c r="AY84" s="113">
        <f>AE84*Valores!$C$51</f>
        <v>4211.8839180000014</v>
      </c>
      <c r="AZ84" s="114"/>
      <c r="BA84" s="114">
        <v>25</v>
      </c>
      <c r="BB84" s="111" t="s">
        <v>8</v>
      </c>
    </row>
    <row r="85" spans="1:54" s="100" customFormat="1" ht="11.25" customHeight="1" x14ac:dyDescent="0.15">
      <c r="A85" s="111" t="s">
        <v>225</v>
      </c>
      <c r="B85" s="111">
        <v>1</v>
      </c>
      <c r="C85" s="114">
        <v>78</v>
      </c>
      <c r="D85" s="112" t="s">
        <v>226</v>
      </c>
      <c r="E85" s="169">
        <v>78</v>
      </c>
      <c r="F85" s="113">
        <f>ROUND(E85*Valores!$C$2,2)</f>
        <v>7628.87</v>
      </c>
      <c r="G85" s="169">
        <v>1770</v>
      </c>
      <c r="H85" s="113">
        <f>ROUND(G85*Valores!$C$2,2)</f>
        <v>173116.62</v>
      </c>
      <c r="I85" s="169">
        <v>0</v>
      </c>
      <c r="J85" s="113">
        <f>ROUND(I85*Valores!$C$2,2)</f>
        <v>0</v>
      </c>
      <c r="K85" s="169">
        <v>0</v>
      </c>
      <c r="L85" s="113">
        <f>ROUND(K85*Valores!$C$2,2)</f>
        <v>0</v>
      </c>
      <c r="M85" s="113">
        <f>ROUND(IF($H$2=0,IF(AND(A85&lt;&gt;"13-930",A85&lt;&gt;"13-940"),(SUM(F85,H85,J85,L85,W85,S85,Q85)*Valores!$C$4),0),0),2)</f>
        <v>65010.28</v>
      </c>
      <c r="N85" s="113">
        <f t="shared" si="16"/>
        <v>0</v>
      </c>
      <c r="O85" s="113">
        <f>Valores!C$78</f>
        <v>217237.58</v>
      </c>
      <c r="P85" s="113">
        <f>Valores!$D$5</f>
        <v>49998.43</v>
      </c>
      <c r="Q85" s="113">
        <f>IF($F$4="NO",Valores!$C$22,Valores!$C$22/2)</f>
        <v>32774.300000000003</v>
      </c>
      <c r="R85" s="113">
        <f>Valores!$C$8</f>
        <v>46521.33</v>
      </c>
      <c r="S85" s="113">
        <f t="shared" si="21"/>
        <v>46521.33</v>
      </c>
      <c r="T85" s="113">
        <v>0</v>
      </c>
      <c r="U85" s="113">
        <v>0</v>
      </c>
      <c r="V85" s="169">
        <v>0</v>
      </c>
      <c r="W85" s="113">
        <f>ROUND(V85*Valores!$C$2,2)</f>
        <v>0</v>
      </c>
      <c r="X85" s="113">
        <v>0</v>
      </c>
      <c r="Y85" s="188">
        <v>0</v>
      </c>
      <c r="Z85" s="113">
        <f t="shared" si="17"/>
        <v>0</v>
      </c>
      <c r="AA85" s="169">
        <v>0</v>
      </c>
      <c r="AB85" s="113">
        <f>ROUND(AA85*Valores!$C$2,2)</f>
        <v>0</v>
      </c>
      <c r="AC85" s="113">
        <f>ROUND(IF($F$4="NO",Valores!$C$32,Valores!$C$32/2),2)</f>
        <v>23377.77</v>
      </c>
      <c r="AD85" s="113">
        <f>SUM(F85,H85,J85,L85,M85,N85,O85,P85,Q85,S85,T85,U85,W85,X85,Z85,AB85,AC85)*Valores!$C$58</f>
        <v>61566.517999999996</v>
      </c>
      <c r="AE85" s="113">
        <f t="shared" si="18"/>
        <v>677231.69799999997</v>
      </c>
      <c r="AF85" s="113">
        <f>Valores!$C$11</f>
        <v>36428</v>
      </c>
      <c r="AG85" s="113">
        <f>Valores!$C$59</f>
        <v>25000</v>
      </c>
      <c r="AH85" s="113">
        <f t="shared" si="14"/>
        <v>61428</v>
      </c>
      <c r="AI85" s="113">
        <f>AE85*Valores!$C$39</f>
        <v>-74495.486779999992</v>
      </c>
      <c r="AJ85" s="113">
        <f>IF(AE85&lt;Valores!$E$40,-0.02,IF(AE85&lt;Valores!$F$40,-0.03,-0.04))*AE85</f>
        <v>-13544.633959999999</v>
      </c>
      <c r="AK85" s="113">
        <f>AE85*Valores!$C$42</f>
        <v>-37247.743389999996</v>
      </c>
      <c r="AL85" s="113">
        <f>Valores!$C$56</f>
        <v>-1270.1600000000001</v>
      </c>
      <c r="AM85" s="113">
        <f>IF($F$5=0,Valores!$C$57,(Valores!$C$57+$F$5*(Valores!$C$57)))</f>
        <v>-7026</v>
      </c>
      <c r="AN85" s="113">
        <f t="shared" si="19"/>
        <v>605075.67386999994</v>
      </c>
      <c r="AO85" s="113">
        <f t="shared" si="13"/>
        <v>-74495.486779999992</v>
      </c>
      <c r="AP85" s="113">
        <f t="shared" si="20"/>
        <v>-13544.633959999999</v>
      </c>
      <c r="AQ85" s="113">
        <f>AE85*Valores!$C$43</f>
        <v>-18285.255846</v>
      </c>
      <c r="AR85" s="113">
        <f>AE85*Valores!$C$44</f>
        <v>-2031.6950939999999</v>
      </c>
      <c r="AS85" s="113">
        <f t="shared" si="15"/>
        <v>630302.62632000004</v>
      </c>
      <c r="AT85" s="113">
        <f>AE85*Valores!$C$46</f>
        <v>108357.07167999999</v>
      </c>
      <c r="AU85" s="113">
        <f>AE85*Valores!$C$47</f>
        <v>47406.218860000001</v>
      </c>
      <c r="AV85" s="113">
        <f>AE85*Valores!$C$48</f>
        <v>6772.3169799999996</v>
      </c>
      <c r="AW85" s="113">
        <f>AE85*Valores!$C$50</f>
        <v>23703.10943</v>
      </c>
      <c r="AX85" s="113">
        <f>AE85*Valores!$C$52</f>
        <v>36570.511692</v>
      </c>
      <c r="AY85" s="113">
        <f>AE85*Valores!$C$51</f>
        <v>4063.3901879999999</v>
      </c>
      <c r="AZ85" s="114"/>
      <c r="BA85" s="114">
        <v>27</v>
      </c>
      <c r="BB85" s="111" t="s">
        <v>4</v>
      </c>
    </row>
    <row r="86" spans="1:54" s="100" customFormat="1" ht="11.25" customHeight="1" x14ac:dyDescent="0.15">
      <c r="A86" s="111" t="s">
        <v>227</v>
      </c>
      <c r="B86" s="111">
        <v>1</v>
      </c>
      <c r="C86" s="114">
        <v>79</v>
      </c>
      <c r="D86" s="112" t="s">
        <v>228</v>
      </c>
      <c r="E86" s="169">
        <v>76</v>
      </c>
      <c r="F86" s="113">
        <f>ROUND(E86*Valores!$C$2,2)</f>
        <v>7433.26</v>
      </c>
      <c r="G86" s="169">
        <v>1872</v>
      </c>
      <c r="H86" s="113">
        <f>ROUND(G86*Valores!$C$2,2)</f>
        <v>183092.83</v>
      </c>
      <c r="I86" s="169">
        <v>0</v>
      </c>
      <c r="J86" s="113">
        <f>ROUND(I86*Valores!$C$2,2)</f>
        <v>0</v>
      </c>
      <c r="K86" s="169">
        <v>0</v>
      </c>
      <c r="L86" s="113">
        <f>ROUND(K86*Valores!$C$2,2)</f>
        <v>0</v>
      </c>
      <c r="M86" s="113">
        <f>ROUND(IF($H$2=0,IF(AND(A86&lt;&gt;"13-930",A86&lt;&gt;"13-940"),(SUM(F86,H86,J86,L86,W86,S86,Q86)*Valores!$C$4),0),0),2)</f>
        <v>67455.429999999993</v>
      </c>
      <c r="N86" s="113">
        <f t="shared" si="16"/>
        <v>0</v>
      </c>
      <c r="O86" s="113">
        <f>Valores!C$70</f>
        <v>172633.88</v>
      </c>
      <c r="P86" s="113">
        <f>Valores!$D$5</f>
        <v>49998.43</v>
      </c>
      <c r="Q86" s="113">
        <f>IF($F$4="NO",Valores!$C$22,Valores!$C$22/2)</f>
        <v>32774.300000000003</v>
      </c>
      <c r="R86" s="113">
        <f>Valores!$C$8</f>
        <v>46521.33</v>
      </c>
      <c r="S86" s="113">
        <f t="shared" si="21"/>
        <v>46521.33</v>
      </c>
      <c r="T86" s="113">
        <v>0</v>
      </c>
      <c r="U86" s="113">
        <v>0</v>
      </c>
      <c r="V86" s="169">
        <v>0</v>
      </c>
      <c r="W86" s="113">
        <f>ROUND(V86*Valores!$C$2,2)</f>
        <v>0</v>
      </c>
      <c r="X86" s="113">
        <v>0</v>
      </c>
      <c r="Y86" s="188">
        <v>0</v>
      </c>
      <c r="Z86" s="113">
        <f t="shared" si="17"/>
        <v>0</v>
      </c>
      <c r="AA86" s="169">
        <v>0</v>
      </c>
      <c r="AB86" s="113">
        <f>ROUND(AA86*Valores!$C$2,2)</f>
        <v>0</v>
      </c>
      <c r="AC86" s="113">
        <f>ROUND(IF($F$4="NO",Valores!$C$32,Valores!$C$32/2),2)</f>
        <v>23377.77</v>
      </c>
      <c r="AD86" s="113">
        <f>SUM(F86,H86,J86,L86,M86,N86,O86,P86,Q86,S86,T86,U86,W86,X86,Z86,AB86,AC86)*Valores!$C$58</f>
        <v>58328.722999999998</v>
      </c>
      <c r="AE86" s="113">
        <f t="shared" si="18"/>
        <v>641615.95299999998</v>
      </c>
      <c r="AF86" s="113">
        <f>Valores!$C$11</f>
        <v>36428</v>
      </c>
      <c r="AG86" s="113">
        <f>Valores!$C$59</f>
        <v>25000</v>
      </c>
      <c r="AH86" s="113">
        <f t="shared" si="14"/>
        <v>61428</v>
      </c>
      <c r="AI86" s="113">
        <f>AE86*Valores!$C$39</f>
        <v>-70577.754830000005</v>
      </c>
      <c r="AJ86" s="113">
        <f>IF(AE86&lt;Valores!$E$40,-0.02,IF(AE86&lt;Valores!$F$40,-0.03,-0.04))*AE86</f>
        <v>-12832.31906</v>
      </c>
      <c r="AK86" s="113">
        <f>AE86*Valores!$C$42</f>
        <v>-35288.877415000003</v>
      </c>
      <c r="AL86" s="113">
        <f>Valores!$C$56</f>
        <v>-1270.1600000000001</v>
      </c>
      <c r="AM86" s="113">
        <f>IF($F$5=0,Valores!$C$57,(Valores!$C$57+$F$5*(Valores!$C$57)))</f>
        <v>-7026</v>
      </c>
      <c r="AN86" s="113">
        <f t="shared" si="19"/>
        <v>576048.84169499995</v>
      </c>
      <c r="AO86" s="113">
        <f t="shared" si="13"/>
        <v>-70577.754830000005</v>
      </c>
      <c r="AP86" s="113">
        <f t="shared" si="20"/>
        <v>-12832.31906</v>
      </c>
      <c r="AQ86" s="113">
        <f>AE86*Valores!$C$43</f>
        <v>-17323.630730999997</v>
      </c>
      <c r="AR86" s="113">
        <f>AE86*Valores!$C$44</f>
        <v>-1924.847859</v>
      </c>
      <c r="AS86" s="113">
        <f t="shared" si="15"/>
        <v>600385.40052000002</v>
      </c>
      <c r="AT86" s="113">
        <f>AE86*Valores!$C$46</f>
        <v>102658.55248</v>
      </c>
      <c r="AU86" s="113">
        <f>AE86*Valores!$C$47</f>
        <v>44913.116710000002</v>
      </c>
      <c r="AV86" s="113">
        <f>AE86*Valores!$C$48</f>
        <v>6416.1595299999999</v>
      </c>
      <c r="AW86" s="113">
        <f>AE86*Valores!$C$50</f>
        <v>22456.558355000001</v>
      </c>
      <c r="AX86" s="113">
        <f>AE86*Valores!$C$52</f>
        <v>34647.261461999995</v>
      </c>
      <c r="AY86" s="113">
        <f>AE86*Valores!$C$51</f>
        <v>3849.6957179999999</v>
      </c>
      <c r="AZ86" s="114"/>
      <c r="BA86" s="114">
        <v>27</v>
      </c>
      <c r="BB86" s="111" t="s">
        <v>4</v>
      </c>
    </row>
    <row r="87" spans="1:54" s="100" customFormat="1" ht="11.25" customHeight="1" x14ac:dyDescent="0.15">
      <c r="A87" s="111" t="s">
        <v>229</v>
      </c>
      <c r="B87" s="111">
        <v>1</v>
      </c>
      <c r="C87" s="114">
        <v>80</v>
      </c>
      <c r="D87" s="112" t="s">
        <v>230</v>
      </c>
      <c r="E87" s="169">
        <v>169</v>
      </c>
      <c r="F87" s="113">
        <f>ROUND(E87*Valores!$C$2,2)</f>
        <v>16529.21</v>
      </c>
      <c r="G87" s="169">
        <f>1997</f>
        <v>1997</v>
      </c>
      <c r="H87" s="113">
        <f>ROUND(G87*Valores!$C$2,2)</f>
        <v>195318.58</v>
      </c>
      <c r="I87" s="169">
        <v>0</v>
      </c>
      <c r="J87" s="113">
        <f>ROUND(I87*Valores!$C$2,2)</f>
        <v>0</v>
      </c>
      <c r="K87" s="169">
        <v>0</v>
      </c>
      <c r="L87" s="113">
        <f>ROUND(K87*Valores!$C$2,2)</f>
        <v>0</v>
      </c>
      <c r="M87" s="113">
        <f>ROUND(IF($H$2=0,IF(AND(A87&lt;&gt;"13-930",A87&lt;&gt;"13-940"),(SUM(F87,H87,J87,L87,W87,S87,Q87)*Valores!$C$4),0),0),2)</f>
        <v>73275.08</v>
      </c>
      <c r="N87" s="113">
        <f t="shared" si="16"/>
        <v>0</v>
      </c>
      <c r="O87" s="113">
        <f>Valores!C$82</f>
        <v>240052.44</v>
      </c>
      <c r="P87" s="113">
        <f>Valores!$D$5</f>
        <v>49998.43</v>
      </c>
      <c r="Q87" s="113">
        <f>IF($F$4="NO",Valores!$C$23,Valores!$C$23/2)</f>
        <v>34731.18</v>
      </c>
      <c r="R87" s="113">
        <f>Valores!$C$8</f>
        <v>46521.33</v>
      </c>
      <c r="S87" s="113">
        <f t="shared" si="21"/>
        <v>46521.33</v>
      </c>
      <c r="T87" s="113">
        <v>0</v>
      </c>
      <c r="U87" s="113">
        <v>0</v>
      </c>
      <c r="V87" s="169">
        <v>0</v>
      </c>
      <c r="W87" s="113">
        <f>ROUND(V87*Valores!$C$2,2)</f>
        <v>0</v>
      </c>
      <c r="X87" s="113">
        <v>0</v>
      </c>
      <c r="Y87" s="188">
        <v>0</v>
      </c>
      <c r="Z87" s="113">
        <f t="shared" si="17"/>
        <v>0</v>
      </c>
      <c r="AA87" s="169">
        <v>0</v>
      </c>
      <c r="AB87" s="113">
        <f>ROUND(AA87*Valores!$C$2,2)</f>
        <v>0</v>
      </c>
      <c r="AC87" s="113">
        <f>ROUND(IF($F$4="NO",Valores!$C$32,Valores!$C$32/2),2)</f>
        <v>23377.77</v>
      </c>
      <c r="AD87" s="113">
        <f>SUM(F87,H87,J87,L87,M87,N87,O87,P87,Q87,S87,T87,U87,W87,X87,Z87,AB87,AC87)*Valores!$C$58</f>
        <v>67980.402000000016</v>
      </c>
      <c r="AE87" s="113">
        <f t="shared" si="18"/>
        <v>747784.42200000014</v>
      </c>
      <c r="AF87" s="113">
        <f>Valores!$C$11</f>
        <v>36428</v>
      </c>
      <c r="AG87" s="113">
        <f>Valores!$C$59</f>
        <v>25000</v>
      </c>
      <c r="AH87" s="113">
        <f t="shared" si="14"/>
        <v>61428</v>
      </c>
      <c r="AI87" s="113">
        <f>AE87*Valores!$C$39</f>
        <v>-82256.286420000019</v>
      </c>
      <c r="AJ87" s="113">
        <f>IF(AE87&lt;Valores!$E$40,-0.02,IF(AE87&lt;Valores!$F$40,-0.03,-0.04))*AE87</f>
        <v>-14955.688440000004</v>
      </c>
      <c r="AK87" s="113">
        <f>AE87*Valores!$C$42</f>
        <v>-41128.143210000009</v>
      </c>
      <c r="AL87" s="113">
        <f>Valores!$C$56</f>
        <v>-1270.1600000000001</v>
      </c>
      <c r="AM87" s="113">
        <f>IF($F$5=0,Valores!$C$57,(Valores!$C$57+$F$5*(Valores!$C$57)))</f>
        <v>-7026</v>
      </c>
      <c r="AN87" s="113">
        <f t="shared" si="19"/>
        <v>662576.14393000014</v>
      </c>
      <c r="AO87" s="113">
        <f t="shared" si="13"/>
        <v>-82256.286420000019</v>
      </c>
      <c r="AP87" s="113">
        <f t="shared" si="20"/>
        <v>-14955.688440000004</v>
      </c>
      <c r="AQ87" s="113">
        <f>AE87*Valores!$C$43</f>
        <v>-20190.179394000003</v>
      </c>
      <c r="AR87" s="113">
        <f>AE87*Valores!$C$44</f>
        <v>-2243.3532660000005</v>
      </c>
      <c r="AS87" s="113">
        <f t="shared" si="15"/>
        <v>689566.91448000015</v>
      </c>
      <c r="AT87" s="113">
        <f>AE87*Valores!$C$46</f>
        <v>119645.50752000003</v>
      </c>
      <c r="AU87" s="113">
        <f>AE87*Valores!$C$47</f>
        <v>52344.909540000015</v>
      </c>
      <c r="AV87" s="113">
        <f>AE87*Valores!$C$48</f>
        <v>7477.8442200000018</v>
      </c>
      <c r="AW87" s="113">
        <f>AE87*Valores!$C$50</f>
        <v>26172.454770000008</v>
      </c>
      <c r="AX87" s="113">
        <f>AE87*Valores!$C$52</f>
        <v>40380.358788000005</v>
      </c>
      <c r="AY87" s="113">
        <f>AE87*Valores!$C$51</f>
        <v>4486.7065320000011</v>
      </c>
      <c r="AZ87" s="114"/>
      <c r="BA87" s="114">
        <v>25</v>
      </c>
      <c r="BB87" s="111" t="s">
        <v>8</v>
      </c>
    </row>
    <row r="88" spans="1:54" s="100" customFormat="1" ht="11.25" customHeight="1" x14ac:dyDescent="0.15">
      <c r="A88" s="111" t="s">
        <v>231</v>
      </c>
      <c r="B88" s="111">
        <v>1</v>
      </c>
      <c r="C88" s="114">
        <v>81</v>
      </c>
      <c r="D88" s="112" t="s">
        <v>232</v>
      </c>
      <c r="E88" s="169">
        <v>218</v>
      </c>
      <c r="F88" s="113">
        <f>ROUND(E88*Valores!$C$2,2)</f>
        <v>21321.71</v>
      </c>
      <c r="G88" s="169">
        <f>1997</f>
        <v>1997</v>
      </c>
      <c r="H88" s="113">
        <f>ROUND(G88*Valores!$C$2,2)</f>
        <v>195318.58</v>
      </c>
      <c r="I88" s="169">
        <v>0</v>
      </c>
      <c r="J88" s="113">
        <f>ROUND(I88*Valores!$C$2,2)</f>
        <v>0</v>
      </c>
      <c r="K88" s="169">
        <v>0</v>
      </c>
      <c r="L88" s="113">
        <f>ROUND(K88*Valores!$C$2,2)</f>
        <v>0</v>
      </c>
      <c r="M88" s="113">
        <f>ROUND(IF($H$2=0,IF(AND(A88&lt;&gt;"13-930",A88&lt;&gt;"13-940"),(SUM(F88,H88,J88,L88,W88,S88,Q88)*Valores!$C$4),0),0),2)</f>
        <v>74473.2</v>
      </c>
      <c r="N88" s="113">
        <f t="shared" si="16"/>
        <v>0</v>
      </c>
      <c r="O88" s="113">
        <f>Valores!C$84</f>
        <v>258468.59</v>
      </c>
      <c r="P88" s="113">
        <f>Valores!$D$5</f>
        <v>49998.43</v>
      </c>
      <c r="Q88" s="113">
        <f>IF($F$4="NO",Valores!$C$23,Valores!$C$23/2)</f>
        <v>34731.18</v>
      </c>
      <c r="R88" s="113">
        <f>Valores!$C$8</f>
        <v>46521.33</v>
      </c>
      <c r="S88" s="113">
        <f t="shared" si="21"/>
        <v>46521.33</v>
      </c>
      <c r="T88" s="113">
        <v>0</v>
      </c>
      <c r="U88" s="113">
        <v>0</v>
      </c>
      <c r="V88" s="169">
        <v>0</v>
      </c>
      <c r="W88" s="113">
        <f>ROUND(V88*Valores!$C$2,2)</f>
        <v>0</v>
      </c>
      <c r="X88" s="113">
        <v>0</v>
      </c>
      <c r="Y88" s="188">
        <v>0</v>
      </c>
      <c r="Z88" s="113">
        <f t="shared" si="17"/>
        <v>0</v>
      </c>
      <c r="AA88" s="169">
        <v>0</v>
      </c>
      <c r="AB88" s="113">
        <f>ROUND(AA88*Valores!$C$2,2)</f>
        <v>0</v>
      </c>
      <c r="AC88" s="113">
        <f>ROUND(IF($F$4="NO",Valores!$C$32,Valores!$C$32/2),2)</f>
        <v>23377.77</v>
      </c>
      <c r="AD88" s="113">
        <f>SUM(F88,H88,J88,L88,M88,N88,O88,P88,Q88,S88,T88,U88,W88,X88,Z88,AB88,AC88)*Valores!$C$58</f>
        <v>70421.079000000012</v>
      </c>
      <c r="AE88" s="113">
        <f t="shared" si="18"/>
        <v>774631.86900000006</v>
      </c>
      <c r="AF88" s="113">
        <f>Valores!$C$11</f>
        <v>36428</v>
      </c>
      <c r="AG88" s="113">
        <f>Valores!$C$59</f>
        <v>25000</v>
      </c>
      <c r="AH88" s="113">
        <f t="shared" si="14"/>
        <v>61428</v>
      </c>
      <c r="AI88" s="113">
        <f>AE88*Valores!$C$39</f>
        <v>-85209.505590000001</v>
      </c>
      <c r="AJ88" s="113">
        <f>IF(AE88&lt;Valores!$E$40,-0.02,IF(AE88&lt;Valores!$F$40,-0.03,-0.04))*AE88</f>
        <v>-23238.95607</v>
      </c>
      <c r="AK88" s="113">
        <f>AE88*Valores!$C$42</f>
        <v>-42604.752795</v>
      </c>
      <c r="AL88" s="113">
        <f>Valores!$C$56</f>
        <v>-1270.1600000000001</v>
      </c>
      <c r="AM88" s="113">
        <f>IF($F$5=0,Valores!$C$57,(Valores!$C$57+$F$5*(Valores!$C$57)))</f>
        <v>-7026</v>
      </c>
      <c r="AN88" s="113">
        <f t="shared" si="19"/>
        <v>676710.49454500002</v>
      </c>
      <c r="AO88" s="113">
        <f t="shared" si="13"/>
        <v>-85209.505590000001</v>
      </c>
      <c r="AP88" s="113">
        <f t="shared" si="20"/>
        <v>-23238.95607</v>
      </c>
      <c r="AQ88" s="113">
        <f>AE88*Valores!$C$43</f>
        <v>-20915.060463000002</v>
      </c>
      <c r="AR88" s="113">
        <f>AE88*Valores!$C$44</f>
        <v>-2323.8956070000004</v>
      </c>
      <c r="AS88" s="113">
        <f t="shared" si="15"/>
        <v>704372.45127000008</v>
      </c>
      <c r="AT88" s="113">
        <f>AE88*Valores!$C$46</f>
        <v>123941.09904000002</v>
      </c>
      <c r="AU88" s="113">
        <f>AE88*Valores!$C$47</f>
        <v>54224.230830000008</v>
      </c>
      <c r="AV88" s="113">
        <f>AE88*Valores!$C$48</f>
        <v>7746.318690000001</v>
      </c>
      <c r="AW88" s="113">
        <f>AE88*Valores!$C$50</f>
        <v>27112.115415000004</v>
      </c>
      <c r="AX88" s="113">
        <f>AE88*Valores!$C$52</f>
        <v>41830.120926000003</v>
      </c>
      <c r="AY88" s="113">
        <f>AE88*Valores!$C$51</f>
        <v>4647.7912140000008</v>
      </c>
      <c r="AZ88" s="114"/>
      <c r="BA88" s="114">
        <v>25</v>
      </c>
      <c r="BB88" s="111" t="s">
        <v>4</v>
      </c>
    </row>
    <row r="89" spans="1:54" s="100" customFormat="1" ht="11.25" customHeight="1" x14ac:dyDescent="0.15">
      <c r="A89" s="111" t="s">
        <v>231</v>
      </c>
      <c r="B89" s="111">
        <v>1</v>
      </c>
      <c r="C89" s="114">
        <v>82</v>
      </c>
      <c r="D89" s="112" t="s">
        <v>233</v>
      </c>
      <c r="E89" s="169">
        <v>218</v>
      </c>
      <c r="F89" s="113">
        <f>ROUND(E89*Valores!$C$2,2)</f>
        <v>21321.71</v>
      </c>
      <c r="G89" s="169">
        <f>1997</f>
        <v>1997</v>
      </c>
      <c r="H89" s="113">
        <f>ROUND(G89*Valores!$C$2,2)</f>
        <v>195318.58</v>
      </c>
      <c r="I89" s="169">
        <v>0</v>
      </c>
      <c r="J89" s="113">
        <f>ROUND(I89*Valores!$C$2,2)</f>
        <v>0</v>
      </c>
      <c r="K89" s="169">
        <v>0</v>
      </c>
      <c r="L89" s="113">
        <f>ROUND(K89*Valores!$C$2,2)</f>
        <v>0</v>
      </c>
      <c r="M89" s="113">
        <f>ROUND(IF($H$2=0,IF(AND(A89&lt;&gt;"13-930",A89&lt;&gt;"13-940"),(SUM(F89,H89,J89,L89,W89,S89,Q89)*Valores!$C$4),0),0),2)</f>
        <v>74473.2</v>
      </c>
      <c r="N89" s="113">
        <f t="shared" si="16"/>
        <v>0</v>
      </c>
      <c r="O89" s="113">
        <f>Valores!C$84</f>
        <v>258468.59</v>
      </c>
      <c r="P89" s="113">
        <f>Valores!$D$5</f>
        <v>49998.43</v>
      </c>
      <c r="Q89" s="113">
        <f>IF($F$4="NO",Valores!$C$23,Valores!$C$23/2)</f>
        <v>34731.18</v>
      </c>
      <c r="R89" s="113">
        <f>Valores!$C$8</f>
        <v>46521.33</v>
      </c>
      <c r="S89" s="113">
        <f t="shared" si="21"/>
        <v>46521.33</v>
      </c>
      <c r="T89" s="113">
        <v>0</v>
      </c>
      <c r="U89" s="113">
        <v>0</v>
      </c>
      <c r="V89" s="169">
        <v>0</v>
      </c>
      <c r="W89" s="113">
        <f>ROUND(V89*Valores!$C$2,2)</f>
        <v>0</v>
      </c>
      <c r="X89" s="113">
        <v>0</v>
      </c>
      <c r="Y89" s="188">
        <v>0</v>
      </c>
      <c r="Z89" s="113">
        <f t="shared" si="17"/>
        <v>0</v>
      </c>
      <c r="AA89" s="169">
        <v>19</v>
      </c>
      <c r="AB89" s="113">
        <f>ROUND(AA89*Valores!$C$2,2)</f>
        <v>1858.31</v>
      </c>
      <c r="AC89" s="113">
        <f>ROUND(IF($F$4="NO",Valores!$C$32,Valores!$C$32/2),2)</f>
        <v>23377.77</v>
      </c>
      <c r="AD89" s="113">
        <f>SUM(F89,H89,J89,L89,M89,N89,O89,P89,Q89,S89,T89,U89,W89,X89,Z89,AB89,AC89)*Valores!$C$58</f>
        <v>70606.910000000018</v>
      </c>
      <c r="AE89" s="113">
        <f t="shared" si="18"/>
        <v>776676.01000000013</v>
      </c>
      <c r="AF89" s="113">
        <f>Valores!$C$11</f>
        <v>36428</v>
      </c>
      <c r="AG89" s="113">
        <f>Valores!$C$59</f>
        <v>25000</v>
      </c>
      <c r="AH89" s="113">
        <f t="shared" si="14"/>
        <v>61428</v>
      </c>
      <c r="AI89" s="113">
        <f>AE89*Valores!$C$39</f>
        <v>-85434.361100000009</v>
      </c>
      <c r="AJ89" s="113">
        <f>IF(AE89&lt;Valores!$E$40,-0.02,IF(AE89&lt;Valores!$F$40,-0.03,-0.04))*AE89</f>
        <v>-23300.280300000002</v>
      </c>
      <c r="AK89" s="113">
        <f>AE89*Valores!$C$42</f>
        <v>-42717.180550000005</v>
      </c>
      <c r="AL89" s="113">
        <f>Valores!$C$56</f>
        <v>-1270.1600000000001</v>
      </c>
      <c r="AM89" s="113">
        <f>IF($F$5=0,Valores!$C$57,(Valores!$C$57+$F$5*(Valores!$C$57)))</f>
        <v>-7026</v>
      </c>
      <c r="AN89" s="113">
        <f t="shared" si="19"/>
        <v>678356.02805000008</v>
      </c>
      <c r="AO89" s="113">
        <f t="shared" si="13"/>
        <v>-85434.361100000009</v>
      </c>
      <c r="AP89" s="113">
        <f t="shared" si="20"/>
        <v>-23300.280300000002</v>
      </c>
      <c r="AQ89" s="113">
        <f>AE89*Valores!$C$43</f>
        <v>-20970.252270000005</v>
      </c>
      <c r="AR89" s="113">
        <f>AE89*Valores!$C$44</f>
        <v>-2330.0280300000004</v>
      </c>
      <c r="AS89" s="113">
        <f t="shared" si="15"/>
        <v>706069.08830000018</v>
      </c>
      <c r="AT89" s="113">
        <f>AE89*Valores!$C$46</f>
        <v>124268.16160000002</v>
      </c>
      <c r="AU89" s="113">
        <f>AE89*Valores!$C$47</f>
        <v>54367.320700000011</v>
      </c>
      <c r="AV89" s="113">
        <f>AE89*Valores!$C$48</f>
        <v>7766.7601000000013</v>
      </c>
      <c r="AW89" s="113">
        <f>AE89*Valores!$C$50</f>
        <v>27183.660350000006</v>
      </c>
      <c r="AX89" s="113">
        <f>AE89*Valores!$C$52</f>
        <v>41940.504540000009</v>
      </c>
      <c r="AY89" s="113">
        <f>AE89*Valores!$C$51</f>
        <v>4660.0560600000008</v>
      </c>
      <c r="AZ89" s="114"/>
      <c r="BA89" s="114">
        <v>25</v>
      </c>
      <c r="BB89" s="111" t="s">
        <v>4</v>
      </c>
    </row>
    <row r="90" spans="1:54" s="100" customFormat="1" ht="11.25" customHeight="1" x14ac:dyDescent="0.15">
      <c r="A90" s="111" t="s">
        <v>234</v>
      </c>
      <c r="B90" s="111">
        <v>1</v>
      </c>
      <c r="C90" s="114">
        <v>83</v>
      </c>
      <c r="D90" s="112" t="s">
        <v>235</v>
      </c>
      <c r="E90" s="169">
        <v>187</v>
      </c>
      <c r="F90" s="113">
        <f>ROUND(E90*Valores!$C$2,2)</f>
        <v>18289.72</v>
      </c>
      <c r="G90" s="169">
        <v>1704</v>
      </c>
      <c r="H90" s="113">
        <f>ROUND(G90*Valores!$C$2,2)</f>
        <v>166661.42000000001</v>
      </c>
      <c r="I90" s="169">
        <v>0</v>
      </c>
      <c r="J90" s="113">
        <f>ROUND(I90*Valores!$C$2,2)</f>
        <v>0</v>
      </c>
      <c r="K90" s="169">
        <v>0</v>
      </c>
      <c r="L90" s="113">
        <f>ROUND(K90*Valores!$C$2,2)</f>
        <v>0</v>
      </c>
      <c r="M90" s="113">
        <f>ROUND(IF($H$2=0,IF(AND(A90&lt;&gt;"13-930",A90&lt;&gt;"13-940"),(SUM(F90,H90,J90,L90,W90,S90,Q90)*Valores!$C$4),0),0),2)</f>
        <v>66550.91</v>
      </c>
      <c r="N90" s="113">
        <f t="shared" si="16"/>
        <v>0</v>
      </c>
      <c r="O90" s="113">
        <f>Valores!C$82</f>
        <v>240052.44</v>
      </c>
      <c r="P90" s="113">
        <f>Valores!$D$5</f>
        <v>49998.43</v>
      </c>
      <c r="Q90" s="113">
        <f>IF($F$4="NO",Valores!$C$23,Valores!$C$23/2)</f>
        <v>34731.18</v>
      </c>
      <c r="R90" s="113">
        <f>Valores!$C$8</f>
        <v>46521.33</v>
      </c>
      <c r="S90" s="113">
        <f t="shared" si="21"/>
        <v>46521.33</v>
      </c>
      <c r="T90" s="113">
        <v>0</v>
      </c>
      <c r="U90" s="113">
        <v>0</v>
      </c>
      <c r="V90" s="169">
        <v>0</v>
      </c>
      <c r="W90" s="113">
        <f>ROUND(V90*Valores!$C$2,2)</f>
        <v>0</v>
      </c>
      <c r="X90" s="113">
        <v>0</v>
      </c>
      <c r="Y90" s="188">
        <v>0</v>
      </c>
      <c r="Z90" s="113">
        <f t="shared" si="17"/>
        <v>0</v>
      </c>
      <c r="AA90" s="169">
        <v>0</v>
      </c>
      <c r="AB90" s="113">
        <f>ROUND(AA90*Valores!$C$2,2)</f>
        <v>0</v>
      </c>
      <c r="AC90" s="113">
        <f>ROUND(IF($F$4="NO",Valores!$C$32,Valores!$C$32/2),2)</f>
        <v>23377.77</v>
      </c>
      <c r="AD90" s="113">
        <f>SUM(F90,H90,J90,L90,M90,N90,O90,P90,Q90,S90,T90,U90,W90,X90,Z90,AB90,AC90)*Valores!$C$58</f>
        <v>64618.320000000007</v>
      </c>
      <c r="AE90" s="113">
        <f t="shared" si="18"/>
        <v>710801.52</v>
      </c>
      <c r="AF90" s="113">
        <f>Valores!$C$11</f>
        <v>36428</v>
      </c>
      <c r="AG90" s="113">
        <f>Valores!$C$59</f>
        <v>25000</v>
      </c>
      <c r="AH90" s="113">
        <f t="shared" si="14"/>
        <v>61428</v>
      </c>
      <c r="AI90" s="113">
        <f>AE90*Valores!$C$39</f>
        <v>-78188.167199999996</v>
      </c>
      <c r="AJ90" s="113">
        <f>IF(AE90&lt;Valores!$E$40,-0.02,IF(AE90&lt;Valores!$F$40,-0.03,-0.04))*AE90</f>
        <v>-14216.030400000001</v>
      </c>
      <c r="AK90" s="113">
        <f>AE90*Valores!$C$42</f>
        <v>-39094.083599999998</v>
      </c>
      <c r="AL90" s="113">
        <f>Valores!$C$56</f>
        <v>-1270.1600000000001</v>
      </c>
      <c r="AM90" s="113">
        <f>IF($F$5=0,Valores!$C$57,(Valores!$C$57+$F$5*(Valores!$C$57)))</f>
        <v>-7026</v>
      </c>
      <c r="AN90" s="113">
        <f t="shared" si="19"/>
        <v>632435.07880000002</v>
      </c>
      <c r="AO90" s="113">
        <f t="shared" si="13"/>
        <v>-78188.167199999996</v>
      </c>
      <c r="AP90" s="113">
        <f t="shared" si="20"/>
        <v>-14216.030400000001</v>
      </c>
      <c r="AQ90" s="113">
        <f>AE90*Valores!$C$43</f>
        <v>-19191.641039999999</v>
      </c>
      <c r="AR90" s="113">
        <f>AE90*Valores!$C$44</f>
        <v>-2132.4045599999999</v>
      </c>
      <c r="AS90" s="113">
        <f t="shared" si="15"/>
        <v>658501.27679999999</v>
      </c>
      <c r="AT90" s="113">
        <f>AE90*Valores!$C$46</f>
        <v>113728.24320000001</v>
      </c>
      <c r="AU90" s="113">
        <f>AE90*Valores!$C$47</f>
        <v>49756.106400000004</v>
      </c>
      <c r="AV90" s="113">
        <f>AE90*Valores!$C$48</f>
        <v>7108.0152000000007</v>
      </c>
      <c r="AW90" s="113">
        <f>AE90*Valores!$C$50</f>
        <v>24878.053200000002</v>
      </c>
      <c r="AX90" s="113">
        <f>AE90*Valores!$C$52</f>
        <v>38383.282079999997</v>
      </c>
      <c r="AY90" s="113">
        <f>AE90*Valores!$C$51</f>
        <v>4264.8091199999999</v>
      </c>
      <c r="AZ90" s="114"/>
      <c r="BA90" s="114">
        <v>25</v>
      </c>
      <c r="BB90" s="111" t="s">
        <v>4</v>
      </c>
    </row>
    <row r="91" spans="1:54" s="100" customFormat="1" ht="11.25" customHeight="1" x14ac:dyDescent="0.15">
      <c r="A91" s="111" t="s">
        <v>234</v>
      </c>
      <c r="B91" s="111">
        <v>1</v>
      </c>
      <c r="C91" s="114">
        <v>84</v>
      </c>
      <c r="D91" s="112" t="s">
        <v>236</v>
      </c>
      <c r="E91" s="169">
        <v>187</v>
      </c>
      <c r="F91" s="113">
        <f>ROUND(E91*Valores!$C$2,2)</f>
        <v>18289.72</v>
      </c>
      <c r="G91" s="169">
        <v>1704</v>
      </c>
      <c r="H91" s="113">
        <f>ROUND(G91*Valores!$C$2,2)</f>
        <v>166661.42000000001</v>
      </c>
      <c r="I91" s="169">
        <v>0</v>
      </c>
      <c r="J91" s="113">
        <f>ROUND(I91*Valores!$C$2,2)</f>
        <v>0</v>
      </c>
      <c r="K91" s="169">
        <v>0</v>
      </c>
      <c r="L91" s="113">
        <f>ROUND(K91*Valores!$C$2,2)</f>
        <v>0</v>
      </c>
      <c r="M91" s="113">
        <f>ROUND(IF($H$2=0,IF(AND(A91&lt;&gt;"13-930",A91&lt;&gt;"13-940"),(SUM(F91,H91,J91,L91,W91,S91,Q91)*Valores!$C$4),0),0),2)</f>
        <v>66550.91</v>
      </c>
      <c r="N91" s="113">
        <f t="shared" si="16"/>
        <v>0</v>
      </c>
      <c r="O91" s="113">
        <f>Valores!C$82</f>
        <v>240052.44</v>
      </c>
      <c r="P91" s="113">
        <f>Valores!$D$5</f>
        <v>49998.43</v>
      </c>
      <c r="Q91" s="113">
        <f>IF($F$4="NO",Valores!$C$23,Valores!$C$23/2)</f>
        <v>34731.18</v>
      </c>
      <c r="R91" s="113">
        <f>Valores!$C$8</f>
        <v>46521.33</v>
      </c>
      <c r="S91" s="113">
        <f t="shared" si="21"/>
        <v>46521.33</v>
      </c>
      <c r="T91" s="113">
        <v>0</v>
      </c>
      <c r="U91" s="113">
        <v>0</v>
      </c>
      <c r="V91" s="169">
        <v>0</v>
      </c>
      <c r="W91" s="113">
        <f>ROUND(V91*Valores!$C$2,2)</f>
        <v>0</v>
      </c>
      <c r="X91" s="113">
        <v>0</v>
      </c>
      <c r="Y91" s="188">
        <v>0</v>
      </c>
      <c r="Z91" s="113">
        <f t="shared" si="17"/>
        <v>0</v>
      </c>
      <c r="AA91" s="169">
        <v>19</v>
      </c>
      <c r="AB91" s="113">
        <f>ROUND(AA91*Valores!$C$2,2)</f>
        <v>1858.31</v>
      </c>
      <c r="AC91" s="113">
        <f>ROUND(IF($F$4="NO",Valores!$C$32,Valores!$C$32/2),2)</f>
        <v>23377.77</v>
      </c>
      <c r="AD91" s="113">
        <f>SUM(F91,H91,J91,L91,M91,N91,O91,P91,Q91,S91,T91,U91,W91,X91,Z91,AB91,AC91)*Valores!$C$58</f>
        <v>64804.151000000013</v>
      </c>
      <c r="AE91" s="113">
        <f t="shared" si="18"/>
        <v>712845.66100000008</v>
      </c>
      <c r="AF91" s="113">
        <f>Valores!$C$11</f>
        <v>36428</v>
      </c>
      <c r="AG91" s="113">
        <f>Valores!$C$59</f>
        <v>25000</v>
      </c>
      <c r="AH91" s="113">
        <f t="shared" si="14"/>
        <v>61428</v>
      </c>
      <c r="AI91" s="113">
        <f>AE91*Valores!$C$39</f>
        <v>-78413.022710000005</v>
      </c>
      <c r="AJ91" s="113">
        <f>IF(AE91&lt;Valores!$E$40,-0.02,IF(AE91&lt;Valores!$F$40,-0.03,-0.04))*AE91</f>
        <v>-14256.913220000002</v>
      </c>
      <c r="AK91" s="113">
        <f>AE91*Valores!$C$42</f>
        <v>-39206.511355000002</v>
      </c>
      <c r="AL91" s="113">
        <f>Valores!$C$56</f>
        <v>-1270.1600000000001</v>
      </c>
      <c r="AM91" s="113">
        <f>IF($F$5=0,Valores!$C$57,(Valores!$C$57+$F$5*(Valores!$C$57)))</f>
        <v>-7026</v>
      </c>
      <c r="AN91" s="113">
        <f t="shared" si="19"/>
        <v>634101.05371500005</v>
      </c>
      <c r="AO91" s="113">
        <f t="shared" si="13"/>
        <v>-78413.022710000005</v>
      </c>
      <c r="AP91" s="113">
        <f t="shared" si="20"/>
        <v>-14256.913220000002</v>
      </c>
      <c r="AQ91" s="113">
        <f>AE91*Valores!$C$43</f>
        <v>-19246.832847000001</v>
      </c>
      <c r="AR91" s="113">
        <f>AE91*Valores!$C$44</f>
        <v>-2138.5369830000004</v>
      </c>
      <c r="AS91" s="113">
        <f t="shared" si="15"/>
        <v>660218.35524000006</v>
      </c>
      <c r="AT91" s="113">
        <f>AE91*Valores!$C$46</f>
        <v>114055.30576000002</v>
      </c>
      <c r="AU91" s="113">
        <f>AE91*Valores!$C$47</f>
        <v>49899.196270000008</v>
      </c>
      <c r="AV91" s="113">
        <f>AE91*Valores!$C$48</f>
        <v>7128.4566100000011</v>
      </c>
      <c r="AW91" s="113">
        <f>AE91*Valores!$C$50</f>
        <v>24949.598135000004</v>
      </c>
      <c r="AX91" s="113">
        <f>AE91*Valores!$C$52</f>
        <v>38493.665694000003</v>
      </c>
      <c r="AY91" s="113">
        <f>AE91*Valores!$C$51</f>
        <v>4277.0739660000008</v>
      </c>
      <c r="AZ91" s="114"/>
      <c r="BA91" s="114">
        <v>25</v>
      </c>
      <c r="BB91" s="111" t="s">
        <v>4</v>
      </c>
    </row>
    <row r="92" spans="1:54" s="100" customFormat="1" ht="11.25" customHeight="1" x14ac:dyDescent="0.15">
      <c r="A92" s="111" t="s">
        <v>237</v>
      </c>
      <c r="B92" s="111">
        <v>1</v>
      </c>
      <c r="C92" s="114">
        <v>85</v>
      </c>
      <c r="D92" s="112" t="s">
        <v>238</v>
      </c>
      <c r="E92" s="169">
        <v>161</v>
      </c>
      <c r="F92" s="113">
        <f>ROUND(E92*Valores!$C$2,2)</f>
        <v>15746.77</v>
      </c>
      <c r="G92" s="169">
        <f>1480</f>
        <v>1480</v>
      </c>
      <c r="H92" s="113">
        <f>ROUND(G92*Valores!$C$2,2)</f>
        <v>144752.88</v>
      </c>
      <c r="I92" s="169">
        <v>0</v>
      </c>
      <c r="J92" s="113">
        <f>ROUND(I92*Valores!$C$2,2)</f>
        <v>0</v>
      </c>
      <c r="K92" s="169">
        <v>0</v>
      </c>
      <c r="L92" s="113">
        <f>ROUND(K92*Valores!$C$2,2)</f>
        <v>0</v>
      </c>
      <c r="M92" s="113">
        <f>ROUND(IF($H$2=0,IF(AND(A92&lt;&gt;"13-930",A92&lt;&gt;"13-940"),(SUM(F92,H92,J92,L92,W92,S92,Q92)*Valores!$C$4),0),0),2)</f>
        <v>60438.04</v>
      </c>
      <c r="N92" s="113">
        <f t="shared" si="16"/>
        <v>0</v>
      </c>
      <c r="O92" s="113">
        <f>Valores!C$82</f>
        <v>240052.44</v>
      </c>
      <c r="P92" s="113">
        <f>Valores!$D$5</f>
        <v>49998.43</v>
      </c>
      <c r="Q92" s="113">
        <f>IF($F$4="NO",Valores!$C$23,Valores!$C$23/2)</f>
        <v>34731.18</v>
      </c>
      <c r="R92" s="113">
        <f>Valores!$C$8</f>
        <v>46521.33</v>
      </c>
      <c r="S92" s="113">
        <f t="shared" si="21"/>
        <v>46521.33</v>
      </c>
      <c r="T92" s="113">
        <v>0</v>
      </c>
      <c r="U92" s="113">
        <v>0</v>
      </c>
      <c r="V92" s="169">
        <v>0</v>
      </c>
      <c r="W92" s="113">
        <f>ROUND(V92*Valores!$C$2,2)</f>
        <v>0</v>
      </c>
      <c r="X92" s="113">
        <v>0</v>
      </c>
      <c r="Y92" s="188">
        <v>0</v>
      </c>
      <c r="Z92" s="113">
        <f t="shared" si="17"/>
        <v>0</v>
      </c>
      <c r="AA92" s="169">
        <v>0</v>
      </c>
      <c r="AB92" s="113">
        <f>ROUND(AA92*Valores!$C$2,2)</f>
        <v>0</v>
      </c>
      <c r="AC92" s="113">
        <f>ROUND(IF($F$4="NO",Valores!$C$32,Valores!$C$32/2),2)</f>
        <v>23377.77</v>
      </c>
      <c r="AD92" s="113">
        <f>SUM(F92,H92,J92,L92,M92,N92,O92,P92,Q92,S92,T92,U92,W92,X92,Z92,AB92,AC92)*Valores!$C$58</f>
        <v>61561.883999999998</v>
      </c>
      <c r="AE92" s="113">
        <f t="shared" si="18"/>
        <v>677180.72399999993</v>
      </c>
      <c r="AF92" s="113">
        <f>Valores!$C$11</f>
        <v>36428</v>
      </c>
      <c r="AG92" s="113">
        <f>Valores!$C$59</f>
        <v>25000</v>
      </c>
      <c r="AH92" s="113">
        <f t="shared" si="14"/>
        <v>61428</v>
      </c>
      <c r="AI92" s="113">
        <f>AE92*Valores!$C$39</f>
        <v>-74489.879639999999</v>
      </c>
      <c r="AJ92" s="113">
        <f>IF(AE92&lt;Valores!$E$40,-0.02,IF(AE92&lt;Valores!$F$40,-0.03,-0.04))*AE92</f>
        <v>-13543.614479999998</v>
      </c>
      <c r="AK92" s="113">
        <f>AE92*Valores!$C$42</f>
        <v>-37244.93982</v>
      </c>
      <c r="AL92" s="113">
        <f>Valores!$C$56</f>
        <v>-1270.1600000000001</v>
      </c>
      <c r="AM92" s="113">
        <f>IF($F$5=0,Valores!$C$57,(Valores!$C$57+$F$5*(Valores!$C$57)))</f>
        <v>-7026</v>
      </c>
      <c r="AN92" s="113">
        <f t="shared" si="19"/>
        <v>605034.13005999988</v>
      </c>
      <c r="AO92" s="113">
        <f t="shared" si="13"/>
        <v>-74489.879639999999</v>
      </c>
      <c r="AP92" s="113">
        <f t="shared" si="20"/>
        <v>-13543.614479999998</v>
      </c>
      <c r="AQ92" s="113">
        <f>AE92*Valores!$C$43</f>
        <v>-18283.879547999997</v>
      </c>
      <c r="AR92" s="113">
        <f>AE92*Valores!$C$44</f>
        <v>-2031.5421719999999</v>
      </c>
      <c r="AS92" s="113">
        <f t="shared" si="15"/>
        <v>630259.8081599999</v>
      </c>
      <c r="AT92" s="113">
        <f>AE92*Valores!$C$46</f>
        <v>108348.91583999999</v>
      </c>
      <c r="AU92" s="113">
        <f>AE92*Valores!$C$47</f>
        <v>47402.650679999999</v>
      </c>
      <c r="AV92" s="113">
        <f>AE92*Valores!$C$48</f>
        <v>6771.8072399999992</v>
      </c>
      <c r="AW92" s="113">
        <f>AE92*Valores!$C$50</f>
        <v>23701.325339999999</v>
      </c>
      <c r="AX92" s="113">
        <f>AE92*Valores!$C$52</f>
        <v>36567.759095999994</v>
      </c>
      <c r="AY92" s="113">
        <f>AE92*Valores!$C$51</f>
        <v>4063.0843439999999</v>
      </c>
      <c r="AZ92" s="114"/>
      <c r="BA92" s="114">
        <v>25</v>
      </c>
      <c r="BB92" s="111" t="s">
        <v>4</v>
      </c>
    </row>
    <row r="93" spans="1:54" s="100" customFormat="1" ht="11.25" customHeight="1" x14ac:dyDescent="0.15">
      <c r="A93" s="111" t="s">
        <v>237</v>
      </c>
      <c r="B93" s="111">
        <v>1</v>
      </c>
      <c r="C93" s="114">
        <v>86</v>
      </c>
      <c r="D93" s="112" t="s">
        <v>239</v>
      </c>
      <c r="E93" s="169">
        <v>161</v>
      </c>
      <c r="F93" s="113">
        <f>ROUND(E93*Valores!$C$2,2)</f>
        <v>15746.77</v>
      </c>
      <c r="G93" s="169">
        <f>1480</f>
        <v>1480</v>
      </c>
      <c r="H93" s="113">
        <f>ROUND(G93*Valores!$C$2,2)</f>
        <v>144752.88</v>
      </c>
      <c r="I93" s="169">
        <v>0</v>
      </c>
      <c r="J93" s="113">
        <f>ROUND(I93*Valores!$C$2,2)</f>
        <v>0</v>
      </c>
      <c r="K93" s="169">
        <v>0</v>
      </c>
      <c r="L93" s="113">
        <f>ROUND(K93*Valores!$C$2,2)</f>
        <v>0</v>
      </c>
      <c r="M93" s="113">
        <f>ROUND(IF($H$2=0,IF(AND(A93&lt;&gt;"13-930",A93&lt;&gt;"13-940"),(SUM(F93,H93,J93,L93,W93,S93,Q93)*Valores!$C$4),0),0),2)</f>
        <v>60438.04</v>
      </c>
      <c r="N93" s="113">
        <f t="shared" si="16"/>
        <v>0</v>
      </c>
      <c r="O93" s="113">
        <f>Valores!C$82</f>
        <v>240052.44</v>
      </c>
      <c r="P93" s="113">
        <f>Valores!$D$5</f>
        <v>49998.43</v>
      </c>
      <c r="Q93" s="113">
        <f>IF($F$4="NO",Valores!$C$23,Valores!$C$23/2)</f>
        <v>34731.18</v>
      </c>
      <c r="R93" s="113">
        <f>Valores!$C$8</f>
        <v>46521.33</v>
      </c>
      <c r="S93" s="113">
        <f t="shared" si="21"/>
        <v>46521.33</v>
      </c>
      <c r="T93" s="113">
        <v>0</v>
      </c>
      <c r="U93" s="113">
        <v>0</v>
      </c>
      <c r="V93" s="169">
        <v>0</v>
      </c>
      <c r="W93" s="113">
        <f>ROUND(V93*Valores!$C$2,2)</f>
        <v>0</v>
      </c>
      <c r="X93" s="113">
        <v>0</v>
      </c>
      <c r="Y93" s="188">
        <v>0</v>
      </c>
      <c r="Z93" s="113">
        <f t="shared" si="17"/>
        <v>0</v>
      </c>
      <c r="AA93" s="169">
        <v>19</v>
      </c>
      <c r="AB93" s="113">
        <f>ROUND(AA93*Valores!$C$2,2)</f>
        <v>1858.31</v>
      </c>
      <c r="AC93" s="113">
        <f>ROUND(IF($F$4="NO",Valores!$C$32,Valores!$C$32/2),2)</f>
        <v>23377.77</v>
      </c>
      <c r="AD93" s="113">
        <f>SUM(F93,H93,J93,L93,M93,N93,O93,P93,Q93,S93,T93,U93,W93,X93,Z93,AB93,AC93)*Valores!$C$58</f>
        <v>61747.715000000004</v>
      </c>
      <c r="AE93" s="113">
        <f t="shared" si="18"/>
        <v>679224.86499999999</v>
      </c>
      <c r="AF93" s="113">
        <f>Valores!$C$11</f>
        <v>36428</v>
      </c>
      <c r="AG93" s="113">
        <f>Valores!$C$59</f>
        <v>25000</v>
      </c>
      <c r="AH93" s="113">
        <f t="shared" si="14"/>
        <v>61428</v>
      </c>
      <c r="AI93" s="113">
        <f>AE93*Valores!$C$39</f>
        <v>-74714.735149999993</v>
      </c>
      <c r="AJ93" s="113">
        <f>IF(AE93&lt;Valores!$E$40,-0.02,IF(AE93&lt;Valores!$F$40,-0.03,-0.04))*AE93</f>
        <v>-13584.497300000001</v>
      </c>
      <c r="AK93" s="113">
        <f>AE93*Valores!$C$42</f>
        <v>-37357.367574999997</v>
      </c>
      <c r="AL93" s="113">
        <f>Valores!$C$56</f>
        <v>-1270.1600000000001</v>
      </c>
      <c r="AM93" s="113">
        <f>IF($F$5=0,Valores!$C$57,(Valores!$C$57+$F$5*(Valores!$C$57)))</f>
        <v>-7026</v>
      </c>
      <c r="AN93" s="113">
        <f t="shared" si="19"/>
        <v>606700.10497500002</v>
      </c>
      <c r="AO93" s="113">
        <f t="shared" si="13"/>
        <v>-74714.735149999993</v>
      </c>
      <c r="AP93" s="113">
        <f t="shared" si="20"/>
        <v>-13584.497300000001</v>
      </c>
      <c r="AQ93" s="113">
        <f>AE93*Valores!$C$43</f>
        <v>-18339.071355</v>
      </c>
      <c r="AR93" s="113">
        <f>AE93*Valores!$C$44</f>
        <v>-2037.674595</v>
      </c>
      <c r="AS93" s="113">
        <f t="shared" si="15"/>
        <v>631976.88659999997</v>
      </c>
      <c r="AT93" s="113">
        <f>AE93*Valores!$C$46</f>
        <v>108675.97840000001</v>
      </c>
      <c r="AU93" s="113">
        <f>AE93*Valores!$C$47</f>
        <v>47545.740550000002</v>
      </c>
      <c r="AV93" s="113">
        <f>AE93*Valores!$C$48</f>
        <v>6792.2486500000005</v>
      </c>
      <c r="AW93" s="113">
        <f>AE93*Valores!$C$50</f>
        <v>23772.870275000001</v>
      </c>
      <c r="AX93" s="113">
        <f>AE93*Valores!$C$52</f>
        <v>36678.14271</v>
      </c>
      <c r="AY93" s="113">
        <f>AE93*Valores!$C$51</f>
        <v>4075.3491899999999</v>
      </c>
      <c r="AZ93" s="114"/>
      <c r="BA93" s="114">
        <v>25</v>
      </c>
      <c r="BB93" s="111" t="s">
        <v>4</v>
      </c>
    </row>
    <row r="94" spans="1:54" s="100" customFormat="1" ht="11.25" customHeight="1" x14ac:dyDescent="0.15">
      <c r="A94" s="111" t="s">
        <v>240</v>
      </c>
      <c r="B94" s="111">
        <v>1</v>
      </c>
      <c r="C94" s="114">
        <v>87</v>
      </c>
      <c r="D94" s="112" t="s">
        <v>241</v>
      </c>
      <c r="E94" s="169">
        <v>179</v>
      </c>
      <c r="F94" s="113">
        <f>ROUND(E94*Valores!$C$2,2)</f>
        <v>17507.27</v>
      </c>
      <c r="G94" s="169">
        <v>1712</v>
      </c>
      <c r="H94" s="113">
        <f>ROUND(G94*Valores!$C$2,2)</f>
        <v>167443.87</v>
      </c>
      <c r="I94" s="169">
        <v>0</v>
      </c>
      <c r="J94" s="113">
        <f>ROUND(I94*Valores!$C$2,2)</f>
        <v>0</v>
      </c>
      <c r="K94" s="169">
        <v>0</v>
      </c>
      <c r="L94" s="113">
        <f>ROUND(K94*Valores!$C$2,2)</f>
        <v>0</v>
      </c>
      <c r="M94" s="113">
        <f>ROUND(IF($H$2=0,IF(AND(A94&lt;&gt;"13-930",A94&lt;&gt;"13-940"),(SUM(F94,H94,J94,L94,W94,S94,Q94)*Valores!$C$4),0),0),2)</f>
        <v>66550.91</v>
      </c>
      <c r="N94" s="113">
        <f t="shared" si="16"/>
        <v>0</v>
      </c>
      <c r="O94" s="113">
        <f>Valores!C$82</f>
        <v>240052.44</v>
      </c>
      <c r="P94" s="113">
        <f>Valores!$D$5</f>
        <v>49998.43</v>
      </c>
      <c r="Q94" s="113">
        <f>IF($F$4="NO",Valores!$C$23,Valores!$C$23/2)</f>
        <v>34731.18</v>
      </c>
      <c r="R94" s="113">
        <f>Valores!$C$8</f>
        <v>46521.33</v>
      </c>
      <c r="S94" s="113">
        <f t="shared" si="21"/>
        <v>46521.33</v>
      </c>
      <c r="T94" s="113">
        <v>0</v>
      </c>
      <c r="U94" s="113">
        <v>0</v>
      </c>
      <c r="V94" s="169">
        <v>0</v>
      </c>
      <c r="W94" s="113">
        <f>ROUND(V94*Valores!$C$2,2)</f>
        <v>0</v>
      </c>
      <c r="X94" s="113">
        <v>0</v>
      </c>
      <c r="Y94" s="188">
        <v>0</v>
      </c>
      <c r="Z94" s="113">
        <f t="shared" si="17"/>
        <v>0</v>
      </c>
      <c r="AA94" s="169">
        <v>0</v>
      </c>
      <c r="AB94" s="113">
        <f>ROUND(AA94*Valores!$C$2,2)</f>
        <v>0</v>
      </c>
      <c r="AC94" s="113">
        <f>ROUND(IF($F$4="NO",Valores!$C$32,Valores!$C$32/2),2)</f>
        <v>23377.77</v>
      </c>
      <c r="AD94" s="113">
        <f>SUM(F94,H94,J94,L94,M94,N94,O94,P94,Q94,S94,T94,U94,W94,X94,Z94,AB94,AC94)*Valores!$C$58</f>
        <v>64618.320000000007</v>
      </c>
      <c r="AE94" s="113">
        <f t="shared" si="18"/>
        <v>710801.52</v>
      </c>
      <c r="AF94" s="113">
        <f>Valores!$C$11</f>
        <v>36428</v>
      </c>
      <c r="AG94" s="113">
        <f>Valores!$C$59</f>
        <v>25000</v>
      </c>
      <c r="AH94" s="113">
        <f t="shared" si="14"/>
        <v>61428</v>
      </c>
      <c r="AI94" s="113">
        <f>AE94*Valores!$C$39</f>
        <v>-78188.167199999996</v>
      </c>
      <c r="AJ94" s="113">
        <f>IF(AE94&lt;Valores!$E$40,-0.02,IF(AE94&lt;Valores!$F$40,-0.03,-0.04))*AE94</f>
        <v>-14216.030400000001</v>
      </c>
      <c r="AK94" s="113">
        <f>AE94*Valores!$C$42</f>
        <v>-39094.083599999998</v>
      </c>
      <c r="AL94" s="113">
        <f>Valores!$C$56</f>
        <v>-1270.1600000000001</v>
      </c>
      <c r="AM94" s="113">
        <f>IF($F$5=0,Valores!$C$57,(Valores!$C$57+$F$5*(Valores!$C$57)))</f>
        <v>-7026</v>
      </c>
      <c r="AN94" s="113">
        <f t="shared" si="19"/>
        <v>632435.07880000002</v>
      </c>
      <c r="AO94" s="113">
        <f t="shared" si="13"/>
        <v>-78188.167199999996</v>
      </c>
      <c r="AP94" s="113">
        <f t="shared" si="20"/>
        <v>-14216.030400000001</v>
      </c>
      <c r="AQ94" s="113">
        <f>AE94*Valores!$C$43</f>
        <v>-19191.641039999999</v>
      </c>
      <c r="AR94" s="113">
        <f>AE94*Valores!$C$44</f>
        <v>-2132.4045599999999</v>
      </c>
      <c r="AS94" s="113">
        <f t="shared" si="15"/>
        <v>658501.27679999999</v>
      </c>
      <c r="AT94" s="113">
        <f>AE94*Valores!$C$46</f>
        <v>113728.24320000001</v>
      </c>
      <c r="AU94" s="113">
        <f>AE94*Valores!$C$47</f>
        <v>49756.106400000004</v>
      </c>
      <c r="AV94" s="113">
        <f>AE94*Valores!$C$48</f>
        <v>7108.0152000000007</v>
      </c>
      <c r="AW94" s="113">
        <f>AE94*Valores!$C$50</f>
        <v>24878.053200000002</v>
      </c>
      <c r="AX94" s="113">
        <f>AE94*Valores!$C$52</f>
        <v>38383.282079999997</v>
      </c>
      <c r="AY94" s="113">
        <f>AE94*Valores!$C$51</f>
        <v>4264.8091199999999</v>
      </c>
      <c r="AZ94" s="114"/>
      <c r="BA94" s="114">
        <v>25</v>
      </c>
      <c r="BB94" s="111" t="s">
        <v>4</v>
      </c>
    </row>
    <row r="95" spans="1:54" s="100" customFormat="1" ht="11.25" customHeight="1" x14ac:dyDescent="0.15">
      <c r="A95" s="111" t="s">
        <v>242</v>
      </c>
      <c r="B95" s="111">
        <v>1</v>
      </c>
      <c r="C95" s="114">
        <v>88</v>
      </c>
      <c r="D95" s="112" t="s">
        <v>243</v>
      </c>
      <c r="E95" s="169">
        <v>64</v>
      </c>
      <c r="F95" s="113">
        <f>ROUND(E95*Valores!$C$2,2)</f>
        <v>6259.58</v>
      </c>
      <c r="G95" s="169">
        <v>2086</v>
      </c>
      <c r="H95" s="113">
        <f>ROUND(G95*Valores!$C$2,2)</f>
        <v>204023.32</v>
      </c>
      <c r="I95" s="169">
        <v>0</v>
      </c>
      <c r="J95" s="113">
        <f>ROUND(I95*Valores!$C$2,2)</f>
        <v>0</v>
      </c>
      <c r="K95" s="169">
        <v>0</v>
      </c>
      <c r="L95" s="113">
        <f>ROUND(K95*Valores!$C$2,2)</f>
        <v>0</v>
      </c>
      <c r="M95" s="113">
        <f>ROUND(IF($H$2=0,IF(AND(A95&lt;&gt;"13-930",A95&lt;&gt;"13-940"),(SUM(F95,H95,J95,L95,W95,S95,Q95)*Valores!$C$4),0),0),2)</f>
        <v>73369.279999999999</v>
      </c>
      <c r="N95" s="113">
        <f t="shared" si="16"/>
        <v>0</v>
      </c>
      <c r="O95" s="113">
        <f>Valores!C$83</f>
        <v>253744.8</v>
      </c>
      <c r="P95" s="113">
        <f>Valores!$D$5</f>
        <v>49998.43</v>
      </c>
      <c r="Q95" s="113">
        <f>IF($F$4="NO",Valores!$C$24,Valores!$C$24/2)</f>
        <v>36672.879999999997</v>
      </c>
      <c r="R95" s="113">
        <f>Valores!$C$8</f>
        <v>46521.33</v>
      </c>
      <c r="S95" s="113">
        <f t="shared" si="21"/>
        <v>46521.33</v>
      </c>
      <c r="T95" s="113">
        <v>0</v>
      </c>
      <c r="U95" s="113">
        <v>0</v>
      </c>
      <c r="V95" s="169">
        <v>0</v>
      </c>
      <c r="W95" s="113">
        <f>ROUND(V95*Valores!$C$2,2)</f>
        <v>0</v>
      </c>
      <c r="X95" s="113">
        <v>0</v>
      </c>
      <c r="Y95" s="188">
        <v>0</v>
      </c>
      <c r="Z95" s="113">
        <f t="shared" si="17"/>
        <v>0</v>
      </c>
      <c r="AA95" s="169">
        <v>0</v>
      </c>
      <c r="AB95" s="113">
        <f>ROUND(AA95*Valores!$C$2,2)</f>
        <v>0</v>
      </c>
      <c r="AC95" s="113">
        <f>ROUND(IF($F$4="NO",Valores!$C$32,Valores!$C$32/2),2)</f>
        <v>23377.77</v>
      </c>
      <c r="AD95" s="113">
        <f>SUM(F95,H95,J95,L95,M95,N95,O95,P95,Q95,S95,T95,U95,W95,X95,Z95,AB95,AC95)*Valores!$C$58</f>
        <v>69396.739000000001</v>
      </c>
      <c r="AE95" s="113">
        <f t="shared" si="18"/>
        <v>763364.12899999996</v>
      </c>
      <c r="AF95" s="113">
        <f>Valores!$C$11</f>
        <v>36428</v>
      </c>
      <c r="AG95" s="113">
        <f>Valores!$C$59</f>
        <v>25000</v>
      </c>
      <c r="AH95" s="113">
        <f t="shared" si="14"/>
        <v>61428</v>
      </c>
      <c r="AI95" s="113">
        <f>AE95*Valores!$C$39</f>
        <v>-83970.054189999995</v>
      </c>
      <c r="AJ95" s="113">
        <f>IF(AE95&lt;Valores!$E$40,-0.02,IF(AE95&lt;Valores!$F$40,-0.03,-0.04))*AE95</f>
        <v>-22900.923869999999</v>
      </c>
      <c r="AK95" s="113">
        <f>AE95*Valores!$C$42</f>
        <v>-41985.027094999998</v>
      </c>
      <c r="AL95" s="113">
        <f>Valores!$C$56</f>
        <v>-1270.1600000000001</v>
      </c>
      <c r="AM95" s="113">
        <f>IF($F$5=0,Valores!$C$57,(Valores!$C$57+$F$5*(Valores!$C$57)))</f>
        <v>-7026</v>
      </c>
      <c r="AN95" s="113">
        <f t="shared" si="19"/>
        <v>667639.9638449999</v>
      </c>
      <c r="AO95" s="113">
        <f t="shared" si="13"/>
        <v>-83970.054189999995</v>
      </c>
      <c r="AP95" s="113">
        <f t="shared" si="20"/>
        <v>-22900.923869999999</v>
      </c>
      <c r="AQ95" s="113">
        <f>AE95*Valores!$C$43</f>
        <v>-20610.831482999998</v>
      </c>
      <c r="AR95" s="113">
        <f>AE95*Valores!$C$44</f>
        <v>-2290.0923870000001</v>
      </c>
      <c r="AS95" s="113">
        <f t="shared" si="15"/>
        <v>695020.22707000002</v>
      </c>
      <c r="AT95" s="113">
        <f>AE95*Valores!$C$46</f>
        <v>122138.26063999999</v>
      </c>
      <c r="AU95" s="113">
        <f>AE95*Valores!$C$47</f>
        <v>53435.489030000004</v>
      </c>
      <c r="AV95" s="113">
        <f>AE95*Valores!$C$48</f>
        <v>7633.6412899999996</v>
      </c>
      <c r="AW95" s="113">
        <f>AE95*Valores!$C$50</f>
        <v>26717.744515000002</v>
      </c>
      <c r="AX95" s="113">
        <f>AE95*Valores!$C$52</f>
        <v>41221.662965999996</v>
      </c>
      <c r="AY95" s="113">
        <f>AE95*Valores!$C$51</f>
        <v>4580.1847740000003</v>
      </c>
      <c r="AZ95" s="114"/>
      <c r="BA95" s="114">
        <v>25</v>
      </c>
      <c r="BB95" s="111" t="s">
        <v>4</v>
      </c>
    </row>
    <row r="96" spans="1:54" s="100" customFormat="1" ht="11.25" customHeight="1" x14ac:dyDescent="0.15">
      <c r="A96" s="111" t="s">
        <v>244</v>
      </c>
      <c r="B96" s="111">
        <v>1</v>
      </c>
      <c r="C96" s="114">
        <v>89</v>
      </c>
      <c r="D96" s="112" t="s">
        <v>245</v>
      </c>
      <c r="E96" s="169">
        <v>89</v>
      </c>
      <c r="F96" s="113">
        <f>ROUND(E96*Valores!$C$2,2)</f>
        <v>8704.73</v>
      </c>
      <c r="G96" s="169">
        <v>2481</v>
      </c>
      <c r="H96" s="113">
        <f>ROUND(G96*Valores!$C$2,2)</f>
        <v>242656.69</v>
      </c>
      <c r="I96" s="169">
        <v>0</v>
      </c>
      <c r="J96" s="113">
        <f>ROUND(I96*Valores!$C$2,2)</f>
        <v>0</v>
      </c>
      <c r="K96" s="169">
        <v>0</v>
      </c>
      <c r="L96" s="113">
        <f>ROUND(K96*Valores!$C$2,2)</f>
        <v>0</v>
      </c>
      <c r="M96" s="113">
        <f>ROUND(IF($H$2=0,IF(AND(A96&lt;&gt;"13-930",A96&lt;&gt;"13-940"),(SUM(F96,H96,J96,L96,W96,S96,Q96)*Valores!$C$4),0),0),2)</f>
        <v>83153.48</v>
      </c>
      <c r="N96" s="113">
        <f t="shared" si="16"/>
        <v>0</v>
      </c>
      <c r="O96" s="113">
        <f>Valores!C$71</f>
        <v>195131.99</v>
      </c>
      <c r="P96" s="113">
        <f>Valores!$D$5</f>
        <v>49998.43</v>
      </c>
      <c r="Q96" s="113">
        <f>IF($F$4="NO",Valores!$C$23,Valores!$C$23/2)</f>
        <v>34731.18</v>
      </c>
      <c r="R96" s="113">
        <f>Valores!$C$8</f>
        <v>46521.33</v>
      </c>
      <c r="S96" s="113">
        <f t="shared" si="21"/>
        <v>46521.33</v>
      </c>
      <c r="T96" s="113">
        <v>0</v>
      </c>
      <c r="U96" s="113">
        <v>0</v>
      </c>
      <c r="V96" s="169">
        <v>0</v>
      </c>
      <c r="W96" s="113">
        <f>ROUND(V96*Valores!$C$2,2)</f>
        <v>0</v>
      </c>
      <c r="X96" s="113">
        <v>0</v>
      </c>
      <c r="Y96" s="188">
        <v>0</v>
      </c>
      <c r="Z96" s="113">
        <f t="shared" si="17"/>
        <v>0</v>
      </c>
      <c r="AA96" s="169">
        <v>0</v>
      </c>
      <c r="AB96" s="113">
        <f>ROUND(AA96*Valores!$C$2,2)</f>
        <v>0</v>
      </c>
      <c r="AC96" s="113">
        <f>ROUND(IF($F$4="NO",Valores!$C$32,Valores!$C$32/2),2)</f>
        <v>23377.77</v>
      </c>
      <c r="AD96" s="113">
        <f>SUM(F96,H96,J96,L96,M96,N96,O96,P96,Q96,S96,T96,U96,W96,X96,Z96,AB96,AC96)*Valores!$C$58</f>
        <v>68427.560000000012</v>
      </c>
      <c r="AE96" s="113">
        <f t="shared" si="18"/>
        <v>752703.16000000015</v>
      </c>
      <c r="AF96" s="113">
        <f>Valores!$C$11</f>
        <v>36428</v>
      </c>
      <c r="AG96" s="113">
        <f>Valores!$C$59</f>
        <v>25000</v>
      </c>
      <c r="AH96" s="113">
        <f t="shared" si="14"/>
        <v>61428</v>
      </c>
      <c r="AI96" s="113">
        <f>AE96*Valores!$C$39</f>
        <v>-82797.347600000023</v>
      </c>
      <c r="AJ96" s="113">
        <f>IF(AE96&lt;Valores!$E$40,-0.02,IF(AE96&lt;Valores!$F$40,-0.03,-0.04))*AE96</f>
        <v>-15054.063200000004</v>
      </c>
      <c r="AK96" s="113">
        <f>AE96*Valores!$C$42</f>
        <v>-41398.673800000011</v>
      </c>
      <c r="AL96" s="113">
        <f>Valores!$C$56</f>
        <v>-1270.1600000000001</v>
      </c>
      <c r="AM96" s="113">
        <f>IF($F$5=0,Valores!$C$57,(Valores!$C$57+$F$5*(Valores!$C$57)))</f>
        <v>-7026</v>
      </c>
      <c r="AN96" s="113">
        <f t="shared" si="19"/>
        <v>666584.91540000006</v>
      </c>
      <c r="AO96" s="113">
        <f t="shared" si="13"/>
        <v>-82797.347600000023</v>
      </c>
      <c r="AP96" s="113">
        <f t="shared" si="20"/>
        <v>-15054.063200000004</v>
      </c>
      <c r="AQ96" s="113">
        <f>AE96*Valores!$C$43</f>
        <v>-20322.985320000003</v>
      </c>
      <c r="AR96" s="113">
        <f>AE96*Valores!$C$44</f>
        <v>-2258.1094800000005</v>
      </c>
      <c r="AS96" s="113">
        <f t="shared" si="15"/>
        <v>693698.65440000012</v>
      </c>
      <c r="AT96" s="113">
        <f>AE96*Valores!$C$46</f>
        <v>120432.50560000003</v>
      </c>
      <c r="AU96" s="113">
        <f>AE96*Valores!$C$47</f>
        <v>52689.221200000015</v>
      </c>
      <c r="AV96" s="113">
        <f>AE96*Valores!$C$48</f>
        <v>7527.0316000000021</v>
      </c>
      <c r="AW96" s="113">
        <f>AE96*Valores!$C$50</f>
        <v>26344.610600000007</v>
      </c>
      <c r="AX96" s="113">
        <f>AE96*Valores!$C$52</f>
        <v>40645.970640000007</v>
      </c>
      <c r="AY96" s="113">
        <f>AE96*Valores!$C$51</f>
        <v>4516.2189600000011</v>
      </c>
      <c r="AZ96" s="114"/>
      <c r="BA96" s="114">
        <v>25</v>
      </c>
      <c r="BB96" s="111" t="s">
        <v>8</v>
      </c>
    </row>
    <row r="97" spans="1:54" s="100" customFormat="1" ht="11.25" customHeight="1" x14ac:dyDescent="0.15">
      <c r="A97" s="111" t="s">
        <v>246</v>
      </c>
      <c r="B97" s="111">
        <v>1</v>
      </c>
      <c r="C97" s="114">
        <v>90</v>
      </c>
      <c r="D97" s="112" t="s">
        <v>247</v>
      </c>
      <c r="E97" s="169">
        <v>89</v>
      </c>
      <c r="F97" s="113">
        <f>ROUND(E97*Valores!$C$2,2)</f>
        <v>8704.73</v>
      </c>
      <c r="G97" s="169">
        <v>2381</v>
      </c>
      <c r="H97" s="113">
        <f>ROUND(G97*Valores!$C$2,2)</f>
        <v>232876.09</v>
      </c>
      <c r="I97" s="169">
        <v>0</v>
      </c>
      <c r="J97" s="113">
        <f>ROUND(I97*Valores!$C$2,2)</f>
        <v>0</v>
      </c>
      <c r="K97" s="169">
        <v>0</v>
      </c>
      <c r="L97" s="113">
        <f>ROUND(K97*Valores!$C$2,2)</f>
        <v>0</v>
      </c>
      <c r="M97" s="113">
        <f>ROUND(IF($H$2=0,IF(AND(A97&lt;&gt;"13-930",A97&lt;&gt;"13-940"),(SUM(F97,H97,J97,L97,W97,S97,Q97)*Valores!$C$4),0),0),2)</f>
        <v>80708.33</v>
      </c>
      <c r="N97" s="113">
        <f t="shared" si="16"/>
        <v>0</v>
      </c>
      <c r="O97" s="113">
        <f>Valores!C$74</f>
        <v>201666.88</v>
      </c>
      <c r="P97" s="113">
        <f>Valores!$D$5</f>
        <v>49998.43</v>
      </c>
      <c r="Q97" s="113">
        <f>IF($F$4="NO",Valores!$C$23,Valores!$C$23/2)</f>
        <v>34731.18</v>
      </c>
      <c r="R97" s="113">
        <f>Valores!$C$8</f>
        <v>46521.33</v>
      </c>
      <c r="S97" s="113">
        <f t="shared" si="21"/>
        <v>46521.33</v>
      </c>
      <c r="T97" s="113">
        <v>0</v>
      </c>
      <c r="U97" s="113">
        <v>0</v>
      </c>
      <c r="V97" s="169">
        <v>0</v>
      </c>
      <c r="W97" s="113">
        <f>ROUND(V97*Valores!$C$2,2)</f>
        <v>0</v>
      </c>
      <c r="X97" s="113">
        <v>0</v>
      </c>
      <c r="Y97" s="188">
        <v>0</v>
      </c>
      <c r="Z97" s="113">
        <f t="shared" si="17"/>
        <v>0</v>
      </c>
      <c r="AA97" s="169">
        <v>0</v>
      </c>
      <c r="AB97" s="113">
        <f>ROUND(AA97*Valores!$C$2,2)</f>
        <v>0</v>
      </c>
      <c r="AC97" s="113">
        <f>ROUND(IF($F$4="NO",Valores!$C$32,Valores!$C$32/2),2)</f>
        <v>23377.77</v>
      </c>
      <c r="AD97" s="113">
        <f>SUM(F97,H97,J97,L97,M97,N97,O97,P97,Q97,S97,T97,U97,W97,X97,Z97,AB97,AC97)*Valores!$C$58</f>
        <v>67858.474000000017</v>
      </c>
      <c r="AE97" s="113">
        <f t="shared" si="18"/>
        <v>746443.21400000015</v>
      </c>
      <c r="AF97" s="113">
        <f>Valores!$C$11</f>
        <v>36428</v>
      </c>
      <c r="AG97" s="113">
        <f>Valores!$C$59</f>
        <v>25000</v>
      </c>
      <c r="AH97" s="113">
        <f t="shared" si="14"/>
        <v>61428</v>
      </c>
      <c r="AI97" s="113">
        <f>AE97*Valores!$C$39</f>
        <v>-82108.75354000002</v>
      </c>
      <c r="AJ97" s="113">
        <f>IF(AE97&lt;Valores!$E$40,-0.02,IF(AE97&lt;Valores!$F$40,-0.03,-0.04))*AE97</f>
        <v>-14928.864280000003</v>
      </c>
      <c r="AK97" s="113">
        <f>AE97*Valores!$C$42</f>
        <v>-41054.37677000001</v>
      </c>
      <c r="AL97" s="113">
        <f>Valores!$C$56</f>
        <v>-1270.1600000000001</v>
      </c>
      <c r="AM97" s="113">
        <f>IF($F$5=0,Valores!$C$57,(Valores!$C$57+$F$5*(Valores!$C$57)))</f>
        <v>-7026</v>
      </c>
      <c r="AN97" s="113">
        <f t="shared" si="19"/>
        <v>661483.0594100001</v>
      </c>
      <c r="AO97" s="113">
        <f t="shared" si="13"/>
        <v>-82108.75354000002</v>
      </c>
      <c r="AP97" s="113">
        <f t="shared" si="20"/>
        <v>-14928.864280000003</v>
      </c>
      <c r="AQ97" s="113">
        <f>AE97*Valores!$C$43</f>
        <v>-20153.966778000005</v>
      </c>
      <c r="AR97" s="113">
        <f>AE97*Valores!$C$44</f>
        <v>-2239.3296420000006</v>
      </c>
      <c r="AS97" s="113">
        <f t="shared" si="15"/>
        <v>688440.29976000008</v>
      </c>
      <c r="AT97" s="113">
        <f>AE97*Valores!$C$46</f>
        <v>119430.91424000003</v>
      </c>
      <c r="AU97" s="113">
        <f>AE97*Valores!$C$47</f>
        <v>52251.024980000017</v>
      </c>
      <c r="AV97" s="113">
        <f>AE97*Valores!$C$48</f>
        <v>7464.4321400000017</v>
      </c>
      <c r="AW97" s="113">
        <f>AE97*Valores!$C$50</f>
        <v>26125.512490000008</v>
      </c>
      <c r="AX97" s="113">
        <f>AE97*Valores!$C$52</f>
        <v>40307.933556000011</v>
      </c>
      <c r="AY97" s="113">
        <f>AE97*Valores!$C$51</f>
        <v>4478.6592840000012</v>
      </c>
      <c r="AZ97" s="114"/>
      <c r="BA97" s="114">
        <v>25</v>
      </c>
      <c r="BB97" s="111" t="s">
        <v>8</v>
      </c>
    </row>
    <row r="98" spans="1:54" s="100" customFormat="1" ht="11.25" customHeight="1" x14ac:dyDescent="0.15">
      <c r="A98" s="111" t="s">
        <v>248</v>
      </c>
      <c r="B98" s="111">
        <v>1</v>
      </c>
      <c r="C98" s="114">
        <v>91</v>
      </c>
      <c r="D98" s="112" t="s">
        <v>249</v>
      </c>
      <c r="E98" s="169">
        <v>89</v>
      </c>
      <c r="F98" s="113">
        <f>ROUND(E98*Valores!$C$2,2)</f>
        <v>8704.73</v>
      </c>
      <c r="G98" s="169">
        <v>1768</v>
      </c>
      <c r="H98" s="113">
        <f>ROUND(G98*Valores!$C$2,2)</f>
        <v>172921.01</v>
      </c>
      <c r="I98" s="169">
        <v>0</v>
      </c>
      <c r="J98" s="113">
        <f>ROUND(I98*Valores!$C$2,2)</f>
        <v>0</v>
      </c>
      <c r="K98" s="169">
        <v>0</v>
      </c>
      <c r="L98" s="113">
        <f>ROUND(K98*Valores!$C$2,2)</f>
        <v>0</v>
      </c>
      <c r="M98" s="113">
        <f>ROUND(IF($H$2=0,IF(AND(A98&lt;&gt;"13-930",A98&lt;&gt;"13-940"),(SUM(F98,H98,J98,L98,W98,S98,Q98)*Valores!$C$4),0),0),2)</f>
        <v>65719.56</v>
      </c>
      <c r="N98" s="113">
        <f t="shared" si="16"/>
        <v>0</v>
      </c>
      <c r="O98" s="113">
        <f>Valores!C$74</f>
        <v>201666.88</v>
      </c>
      <c r="P98" s="113">
        <f>Valores!$D$5</f>
        <v>49998.43</v>
      </c>
      <c r="Q98" s="113">
        <f>IF($F$4="NO",Valores!$C$23,Valores!$C$23/2)</f>
        <v>34731.18</v>
      </c>
      <c r="R98" s="113">
        <f>Valores!$C$8</f>
        <v>46521.33</v>
      </c>
      <c r="S98" s="113">
        <f t="shared" si="21"/>
        <v>46521.33</v>
      </c>
      <c r="T98" s="113">
        <v>0</v>
      </c>
      <c r="U98" s="113">
        <v>0</v>
      </c>
      <c r="V98" s="169">
        <v>0</v>
      </c>
      <c r="W98" s="113">
        <f>ROUND(V98*Valores!$C$2,2)</f>
        <v>0</v>
      </c>
      <c r="X98" s="113">
        <v>0</v>
      </c>
      <c r="Y98" s="188">
        <v>0</v>
      </c>
      <c r="Z98" s="113">
        <f t="shared" si="17"/>
        <v>0</v>
      </c>
      <c r="AA98" s="169">
        <v>0</v>
      </c>
      <c r="AB98" s="113">
        <f>ROUND(AA98*Valores!$C$2,2)</f>
        <v>0</v>
      </c>
      <c r="AC98" s="113">
        <f>ROUND(IF($F$4="NO",Valores!$C$32,Valores!$C$32/2),2)</f>
        <v>23377.77</v>
      </c>
      <c r="AD98" s="113">
        <f>SUM(F98,H98,J98,L98,M98,N98,O98,P98,Q98,S98,T98,U98,W98,X98,Z98,AB98,AC98)*Valores!$C$58</f>
        <v>60364.089000000007</v>
      </c>
      <c r="AE98" s="113">
        <f t="shared" si="18"/>
        <v>664004.97900000005</v>
      </c>
      <c r="AF98" s="113">
        <f>Valores!$C$11</f>
        <v>36428</v>
      </c>
      <c r="AG98" s="113">
        <f>Valores!$C$59</f>
        <v>25000</v>
      </c>
      <c r="AH98" s="113">
        <f t="shared" si="14"/>
        <v>61428</v>
      </c>
      <c r="AI98" s="113">
        <f>AE98*Valores!$C$39</f>
        <v>-73040.547690000007</v>
      </c>
      <c r="AJ98" s="113">
        <f>IF(AE98&lt;Valores!$E$40,-0.02,IF(AE98&lt;Valores!$F$40,-0.03,-0.04))*AE98</f>
        <v>-13280.099580000002</v>
      </c>
      <c r="AK98" s="113">
        <f>AE98*Valores!$C$42</f>
        <v>-36520.273845000003</v>
      </c>
      <c r="AL98" s="113">
        <f>Valores!$C$56</f>
        <v>-1270.1600000000001</v>
      </c>
      <c r="AM98" s="113">
        <f>IF($F$5=0,Valores!$C$57,(Valores!$C$57+$F$5*(Valores!$C$57)))</f>
        <v>-7026</v>
      </c>
      <c r="AN98" s="113">
        <f t="shared" si="19"/>
        <v>594295.8978850001</v>
      </c>
      <c r="AO98" s="113">
        <f t="shared" si="13"/>
        <v>-73040.547690000007</v>
      </c>
      <c r="AP98" s="113">
        <f t="shared" si="20"/>
        <v>-13280.099580000002</v>
      </c>
      <c r="AQ98" s="113">
        <f>AE98*Valores!$C$43</f>
        <v>-17928.134433000003</v>
      </c>
      <c r="AR98" s="113">
        <f>AE98*Valores!$C$44</f>
        <v>-1992.0149370000001</v>
      </c>
      <c r="AS98" s="113">
        <f t="shared" si="15"/>
        <v>619192.18235999998</v>
      </c>
      <c r="AT98" s="113">
        <f>AE98*Valores!$C$46</f>
        <v>106240.79664000002</v>
      </c>
      <c r="AU98" s="113">
        <f>AE98*Valores!$C$47</f>
        <v>46480.34853000001</v>
      </c>
      <c r="AV98" s="113">
        <f>AE98*Valores!$C$48</f>
        <v>6640.0497900000009</v>
      </c>
      <c r="AW98" s="113">
        <f>AE98*Valores!$C$50</f>
        <v>23240.174265000005</v>
      </c>
      <c r="AX98" s="113">
        <f>AE98*Valores!$C$52</f>
        <v>35856.268866000006</v>
      </c>
      <c r="AY98" s="113">
        <f>AE98*Valores!$C$51</f>
        <v>3984.0298740000003</v>
      </c>
      <c r="AZ98" s="114"/>
      <c r="BA98" s="114">
        <v>25</v>
      </c>
      <c r="BB98" s="111" t="s">
        <v>4</v>
      </c>
    </row>
    <row r="99" spans="1:54" s="100" customFormat="1" ht="11.25" customHeight="1" x14ac:dyDescent="0.15">
      <c r="A99" s="111" t="s">
        <v>250</v>
      </c>
      <c r="B99" s="111">
        <v>1</v>
      </c>
      <c r="C99" s="114">
        <v>92</v>
      </c>
      <c r="D99" s="112" t="s">
        <v>251</v>
      </c>
      <c r="E99" s="169">
        <v>89</v>
      </c>
      <c r="F99" s="113">
        <f>ROUND(E99*Valores!$C$2,2)</f>
        <v>8704.73</v>
      </c>
      <c r="G99" s="169">
        <v>1768</v>
      </c>
      <c r="H99" s="113">
        <f>ROUND(G99*Valores!$C$2,2)</f>
        <v>172921.01</v>
      </c>
      <c r="I99" s="169">
        <v>0</v>
      </c>
      <c r="J99" s="113">
        <f>ROUND(I99*Valores!$C$2,2)</f>
        <v>0</v>
      </c>
      <c r="K99" s="169">
        <v>0</v>
      </c>
      <c r="L99" s="113">
        <f>ROUND(K99*Valores!$C$2,2)</f>
        <v>0</v>
      </c>
      <c r="M99" s="113">
        <f>ROUND(IF($H$2=0,IF(AND(A99&lt;&gt;"13-930",A99&lt;&gt;"13-940"),(SUM(F99,H99,J99,L99,W99,S99,Q99)*Valores!$C$4),0),0),2)</f>
        <v>65719.56</v>
      </c>
      <c r="N99" s="113">
        <f t="shared" si="16"/>
        <v>0</v>
      </c>
      <c r="O99" s="113">
        <f>Valores!C$81</f>
        <v>239735.67999999999</v>
      </c>
      <c r="P99" s="113">
        <f>Valores!$D$5</f>
        <v>49998.43</v>
      </c>
      <c r="Q99" s="113">
        <f>IF($F$4="NO",Valores!$C$23,Valores!$C$23/2)</f>
        <v>34731.18</v>
      </c>
      <c r="R99" s="113">
        <f>Valores!$C$8</f>
        <v>46521.33</v>
      </c>
      <c r="S99" s="113">
        <f t="shared" si="21"/>
        <v>46521.33</v>
      </c>
      <c r="T99" s="113">
        <v>0</v>
      </c>
      <c r="U99" s="113">
        <v>0</v>
      </c>
      <c r="V99" s="169">
        <v>0</v>
      </c>
      <c r="W99" s="113">
        <f>ROUND(V99*Valores!$C$2,2)</f>
        <v>0</v>
      </c>
      <c r="X99" s="113">
        <v>0</v>
      </c>
      <c r="Y99" s="188">
        <v>0</v>
      </c>
      <c r="Z99" s="113">
        <f t="shared" si="17"/>
        <v>0</v>
      </c>
      <c r="AA99" s="169">
        <v>0</v>
      </c>
      <c r="AB99" s="113">
        <f>ROUND(AA99*Valores!$C$2,2)</f>
        <v>0</v>
      </c>
      <c r="AC99" s="113">
        <f>ROUND(IF($F$4="NO",Valores!$C$32,Valores!$C$32/2),2)</f>
        <v>23377.77</v>
      </c>
      <c r="AD99" s="113">
        <f>SUM(F99,H99,J99,L99,M99,N99,O99,P99,Q99,S99,T99,U99,W99,X99,Z99,AB99,AC99)*Valores!$C$58</f>
        <v>64170.969000000012</v>
      </c>
      <c r="AE99" s="113">
        <f t="shared" si="18"/>
        <v>705880.6590000001</v>
      </c>
      <c r="AF99" s="113">
        <f>Valores!$C$11</f>
        <v>36428</v>
      </c>
      <c r="AG99" s="113">
        <f>Valores!$C$59</f>
        <v>25000</v>
      </c>
      <c r="AH99" s="113">
        <f t="shared" si="14"/>
        <v>61428</v>
      </c>
      <c r="AI99" s="113">
        <f>AE99*Valores!$C$39</f>
        <v>-77646.872490000009</v>
      </c>
      <c r="AJ99" s="113">
        <f>IF(AE99&lt;Valores!$E$40,-0.02,IF(AE99&lt;Valores!$F$40,-0.03,-0.04))*AE99</f>
        <v>-14117.613180000002</v>
      </c>
      <c r="AK99" s="113">
        <f>AE99*Valores!$C$42</f>
        <v>-38823.436245000004</v>
      </c>
      <c r="AL99" s="113">
        <f>Valores!$C$56</f>
        <v>-1270.1600000000001</v>
      </c>
      <c r="AM99" s="113">
        <f>IF($F$5=0,Valores!$C$57,(Valores!$C$57+$F$5*(Valores!$C$57)))</f>
        <v>-7026</v>
      </c>
      <c r="AN99" s="113">
        <f t="shared" si="19"/>
        <v>628424.57708500011</v>
      </c>
      <c r="AO99" s="113">
        <f t="shared" si="13"/>
        <v>-77646.872490000009</v>
      </c>
      <c r="AP99" s="113">
        <f t="shared" si="20"/>
        <v>-14117.613180000002</v>
      </c>
      <c r="AQ99" s="113">
        <f>AE99*Valores!$C$43</f>
        <v>-19058.777793000001</v>
      </c>
      <c r="AR99" s="113">
        <f>AE99*Valores!$C$44</f>
        <v>-2117.6419770000002</v>
      </c>
      <c r="AS99" s="113">
        <f t="shared" si="15"/>
        <v>654367.7535600001</v>
      </c>
      <c r="AT99" s="113">
        <f>AE99*Valores!$C$46</f>
        <v>112940.90544000002</v>
      </c>
      <c r="AU99" s="113">
        <f>AE99*Valores!$C$47</f>
        <v>49411.646130000008</v>
      </c>
      <c r="AV99" s="113">
        <f>AE99*Valores!$C$48</f>
        <v>7058.8065900000011</v>
      </c>
      <c r="AW99" s="113">
        <f>AE99*Valores!$C$50</f>
        <v>24705.823065000004</v>
      </c>
      <c r="AX99" s="113">
        <f>AE99*Valores!$C$52</f>
        <v>38117.555586000002</v>
      </c>
      <c r="AY99" s="113">
        <f>AE99*Valores!$C$51</f>
        <v>4235.2839540000004</v>
      </c>
      <c r="AZ99" s="114"/>
      <c r="BA99" s="114"/>
      <c r="BB99" s="111" t="s">
        <v>4</v>
      </c>
    </row>
    <row r="100" spans="1:54" s="100" customFormat="1" ht="11.25" customHeight="1" x14ac:dyDescent="0.15">
      <c r="A100" s="111" t="s">
        <v>252</v>
      </c>
      <c r="B100" s="111">
        <v>1</v>
      </c>
      <c r="C100" s="114">
        <v>93</v>
      </c>
      <c r="D100" s="112" t="s">
        <v>253</v>
      </c>
      <c r="E100" s="169">
        <v>89</v>
      </c>
      <c r="F100" s="113">
        <f>ROUND(E100*Valores!$C$2,2)</f>
        <v>8704.73</v>
      </c>
      <c r="G100" s="169">
        <v>2211</v>
      </c>
      <c r="H100" s="113">
        <f>ROUND(G100*Valores!$C$2,2)</f>
        <v>216249.07</v>
      </c>
      <c r="I100" s="169">
        <v>0</v>
      </c>
      <c r="J100" s="113">
        <f>ROUND(I100*Valores!$C$2,2)</f>
        <v>0</v>
      </c>
      <c r="K100" s="169">
        <v>0</v>
      </c>
      <c r="L100" s="113">
        <f>ROUND(K100*Valores!$C$2,2)</f>
        <v>0</v>
      </c>
      <c r="M100" s="113">
        <f>ROUND(IF($H$2=0,IF(AND(A100&lt;&gt;"13-930",A100&lt;&gt;"13-940"),(SUM(F100,H100,J100,L100,W100,S100,Q100)*Valores!$C$4),0),0),2)</f>
        <v>76551.58</v>
      </c>
      <c r="N100" s="113">
        <f t="shared" si="16"/>
        <v>0</v>
      </c>
      <c r="O100" s="113">
        <f>Valores!C$81</f>
        <v>239735.67999999999</v>
      </c>
      <c r="P100" s="113">
        <f>Valores!$D$5</f>
        <v>49998.43</v>
      </c>
      <c r="Q100" s="113">
        <f>IF($F$4="NO",Valores!$C$23,Valores!$C$23/2)</f>
        <v>34731.18</v>
      </c>
      <c r="R100" s="113">
        <f>Valores!$C$8</f>
        <v>46521.33</v>
      </c>
      <c r="S100" s="113">
        <f t="shared" si="21"/>
        <v>46521.33</v>
      </c>
      <c r="T100" s="113">
        <v>0</v>
      </c>
      <c r="U100" s="113">
        <v>0</v>
      </c>
      <c r="V100" s="169">
        <v>0</v>
      </c>
      <c r="W100" s="113">
        <f>ROUND(V100*Valores!$C$2,2)</f>
        <v>0</v>
      </c>
      <c r="X100" s="113">
        <v>0</v>
      </c>
      <c r="Y100" s="188">
        <v>0</v>
      </c>
      <c r="Z100" s="113">
        <f t="shared" si="17"/>
        <v>0</v>
      </c>
      <c r="AA100" s="169">
        <v>0</v>
      </c>
      <c r="AB100" s="113">
        <f>ROUND(AA100*Valores!$C$2,2)</f>
        <v>0</v>
      </c>
      <c r="AC100" s="113">
        <f>ROUND(IF($F$4="NO",Valores!$C$32,Valores!$C$32/2),2)</f>
        <v>23377.77</v>
      </c>
      <c r="AD100" s="113">
        <f>SUM(F100,H100,J100,L100,M100,N100,O100,P100,Q100,S100,T100,U100,W100,X100,Z100,AB100,AC100)*Valores!$C$58</f>
        <v>69586.977000000014</v>
      </c>
      <c r="AE100" s="113">
        <f t="shared" si="18"/>
        <v>765456.74700000021</v>
      </c>
      <c r="AF100" s="113">
        <f>Valores!$C$11</f>
        <v>36428</v>
      </c>
      <c r="AG100" s="113">
        <f>Valores!$C$59</f>
        <v>25000</v>
      </c>
      <c r="AH100" s="113">
        <f t="shared" si="14"/>
        <v>61428</v>
      </c>
      <c r="AI100" s="113">
        <f>AE100*Valores!$C$39</f>
        <v>-84200.242170000027</v>
      </c>
      <c r="AJ100" s="113">
        <f>IF(AE100&lt;Valores!$E$40,-0.02,IF(AE100&lt;Valores!$F$40,-0.03,-0.04))*AE100</f>
        <v>-22963.702410000005</v>
      </c>
      <c r="AK100" s="113">
        <f>AE100*Valores!$C$42</f>
        <v>-42100.121085000013</v>
      </c>
      <c r="AL100" s="113">
        <f>Valores!$C$56</f>
        <v>-1270.1600000000001</v>
      </c>
      <c r="AM100" s="113">
        <f>IF($F$5=0,Valores!$C$57,(Valores!$C$57+$F$5*(Valores!$C$57)))</f>
        <v>-7026</v>
      </c>
      <c r="AN100" s="113">
        <f t="shared" si="19"/>
        <v>669324.52133500017</v>
      </c>
      <c r="AO100" s="113">
        <f t="shared" si="13"/>
        <v>-84200.242170000027</v>
      </c>
      <c r="AP100" s="113">
        <f t="shared" si="20"/>
        <v>-22963.702410000005</v>
      </c>
      <c r="AQ100" s="113">
        <f>AE100*Valores!$C$43</f>
        <v>-20667.332169000005</v>
      </c>
      <c r="AR100" s="113">
        <f>AE100*Valores!$C$44</f>
        <v>-2296.3702410000005</v>
      </c>
      <c r="AS100" s="113">
        <f t="shared" si="15"/>
        <v>696757.10001000017</v>
      </c>
      <c r="AT100" s="113">
        <f>AE100*Valores!$C$46</f>
        <v>122473.07952000003</v>
      </c>
      <c r="AU100" s="113">
        <f>AE100*Valores!$C$47</f>
        <v>53581.97229000002</v>
      </c>
      <c r="AV100" s="113">
        <f>AE100*Valores!$C$48</f>
        <v>7654.5674700000018</v>
      </c>
      <c r="AW100" s="113">
        <f>AE100*Valores!$C$50</f>
        <v>26790.98614500001</v>
      </c>
      <c r="AX100" s="113">
        <f>AE100*Valores!$C$52</f>
        <v>41334.66433800001</v>
      </c>
      <c r="AY100" s="113">
        <f>AE100*Valores!$C$51</f>
        <v>4592.7404820000011</v>
      </c>
      <c r="AZ100" s="114"/>
      <c r="BA100" s="114"/>
      <c r="BB100" s="111" t="s">
        <v>8</v>
      </c>
    </row>
    <row r="101" spans="1:54" s="100" customFormat="1" ht="11.25" customHeight="1" x14ac:dyDescent="0.15">
      <c r="A101" s="111" t="s">
        <v>254</v>
      </c>
      <c r="B101" s="111">
        <v>1</v>
      </c>
      <c r="C101" s="114">
        <v>94</v>
      </c>
      <c r="D101" s="112" t="s">
        <v>255</v>
      </c>
      <c r="E101" s="169">
        <v>89</v>
      </c>
      <c r="F101" s="113">
        <f>ROUND(E101*Valores!$C$2,2)</f>
        <v>8704.73</v>
      </c>
      <c r="G101" s="169">
        <v>1956</v>
      </c>
      <c r="H101" s="113">
        <f>ROUND(G101*Valores!$C$2,2)</f>
        <v>191308.54</v>
      </c>
      <c r="I101" s="169">
        <v>0</v>
      </c>
      <c r="J101" s="113">
        <f>ROUND(I101*Valores!$C$2,2)</f>
        <v>0</v>
      </c>
      <c r="K101" s="169">
        <v>0</v>
      </c>
      <c r="L101" s="113">
        <f>ROUND(K101*Valores!$C$2,2)</f>
        <v>0</v>
      </c>
      <c r="M101" s="113">
        <f>ROUND(IF($H$2=0,IF(AND(A101&lt;&gt;"13-930",A101&lt;&gt;"13-940"),(SUM(F101,H101,J101,L101,W101,S101,Q101)*Valores!$C$4),0),0),2)</f>
        <v>70316.45</v>
      </c>
      <c r="N101" s="113">
        <f t="shared" si="16"/>
        <v>0</v>
      </c>
      <c r="O101" s="113">
        <f>Valores!C$66</f>
        <v>157063.19</v>
      </c>
      <c r="P101" s="113">
        <f>Valores!$D$5</f>
        <v>49998.43</v>
      </c>
      <c r="Q101" s="113">
        <f>IF($F$4="NO",Valores!$C$23,Valores!$C$23/2)</f>
        <v>34731.18</v>
      </c>
      <c r="R101" s="113">
        <f>Valores!$C$8</f>
        <v>46521.33</v>
      </c>
      <c r="S101" s="113">
        <f t="shared" si="21"/>
        <v>46521.33</v>
      </c>
      <c r="T101" s="113">
        <v>0</v>
      </c>
      <c r="U101" s="113">
        <v>0</v>
      </c>
      <c r="V101" s="169">
        <v>0</v>
      </c>
      <c r="W101" s="113">
        <f>ROUND(V101*Valores!$C$2,2)</f>
        <v>0</v>
      </c>
      <c r="X101" s="113">
        <v>0</v>
      </c>
      <c r="Y101" s="188">
        <v>0</v>
      </c>
      <c r="Z101" s="113">
        <f t="shared" si="17"/>
        <v>0</v>
      </c>
      <c r="AA101" s="169">
        <v>0</v>
      </c>
      <c r="AB101" s="113">
        <f>ROUND(AA101*Valores!$C$2,2)</f>
        <v>0</v>
      </c>
      <c r="AC101" s="113">
        <f>ROUND(IF($F$4="NO",Valores!$C$32,Valores!$C$32/2),2)</f>
        <v>23377.77</v>
      </c>
      <c r="AD101" s="113">
        <f>SUM(F101,H101,J101,L101,M101,N101,O101,P101,Q101,S101,T101,U101,W101,X101,Z101,AB101,AC101)*Valores!$C$58</f>
        <v>58202.162000000004</v>
      </c>
      <c r="AE101" s="113">
        <f t="shared" si="18"/>
        <v>640223.78200000001</v>
      </c>
      <c r="AF101" s="113">
        <f>Valores!$C$11</f>
        <v>36428</v>
      </c>
      <c r="AG101" s="113">
        <f>Valores!$C$59</f>
        <v>25000</v>
      </c>
      <c r="AH101" s="113">
        <f t="shared" si="14"/>
        <v>61428</v>
      </c>
      <c r="AI101" s="113">
        <f>AE101*Valores!$C$39</f>
        <v>-70424.616020000001</v>
      </c>
      <c r="AJ101" s="113">
        <f>IF(AE101&lt;Valores!$E$40,-0.02,IF(AE101&lt;Valores!$F$40,-0.03,-0.04))*AE101</f>
        <v>-12804.475640000001</v>
      </c>
      <c r="AK101" s="113">
        <f>AE101*Valores!$C$42</f>
        <v>-35212.308010000001</v>
      </c>
      <c r="AL101" s="113">
        <f>Valores!$C$56</f>
        <v>-1270.1600000000001</v>
      </c>
      <c r="AM101" s="113">
        <f>IF($F$5=0,Valores!$C$57,(Valores!$C$57+$F$5*(Valores!$C$57)))</f>
        <v>-7026</v>
      </c>
      <c r="AN101" s="113">
        <f t="shared" si="19"/>
        <v>574914.22233000002</v>
      </c>
      <c r="AO101" s="113">
        <f t="shared" si="13"/>
        <v>-70424.616020000001</v>
      </c>
      <c r="AP101" s="113">
        <f t="shared" si="20"/>
        <v>-12804.475640000001</v>
      </c>
      <c r="AQ101" s="113">
        <f>AE101*Valores!$C$43</f>
        <v>-17286.042114</v>
      </c>
      <c r="AR101" s="113">
        <f>AE101*Valores!$C$44</f>
        <v>-1920.6713460000001</v>
      </c>
      <c r="AS101" s="113">
        <f t="shared" si="15"/>
        <v>599215.97687999997</v>
      </c>
      <c r="AT101" s="113">
        <f>AE101*Valores!$C$46</f>
        <v>102435.80512</v>
      </c>
      <c r="AU101" s="113">
        <f>AE101*Valores!$C$47</f>
        <v>44815.664740000007</v>
      </c>
      <c r="AV101" s="113">
        <f>AE101*Valores!$C$48</f>
        <v>6402.2378200000003</v>
      </c>
      <c r="AW101" s="113">
        <f>AE101*Valores!$C$50</f>
        <v>22407.832370000004</v>
      </c>
      <c r="AX101" s="113">
        <f>AE101*Valores!$C$52</f>
        <v>34572.084228</v>
      </c>
      <c r="AY101" s="113">
        <f>AE101*Valores!$C$51</f>
        <v>3841.3426920000002</v>
      </c>
      <c r="AZ101" s="114"/>
      <c r="BA101" s="114"/>
      <c r="BB101" s="111" t="s">
        <v>8</v>
      </c>
    </row>
    <row r="102" spans="1:54" s="100" customFormat="1" ht="11.25" customHeight="1" x14ac:dyDescent="0.15">
      <c r="A102" s="111" t="s">
        <v>256</v>
      </c>
      <c r="B102" s="111">
        <v>1</v>
      </c>
      <c r="C102" s="114">
        <v>95</v>
      </c>
      <c r="D102" s="112" t="s">
        <v>257</v>
      </c>
      <c r="E102" s="169">
        <v>89</v>
      </c>
      <c r="F102" s="113">
        <f>ROUND(E102*Valores!$C$2,2)</f>
        <v>8704.73</v>
      </c>
      <c r="G102" s="169">
        <v>1267</v>
      </c>
      <c r="H102" s="113">
        <f>ROUND(G102*Valores!$C$2,2)</f>
        <v>123920.2</v>
      </c>
      <c r="I102" s="169">
        <v>0</v>
      </c>
      <c r="J102" s="113">
        <f>ROUND(I102*Valores!$C$2,2)</f>
        <v>0</v>
      </c>
      <c r="K102" s="169">
        <v>0</v>
      </c>
      <c r="L102" s="113">
        <f>ROUND(K102*Valores!$C$2,2)</f>
        <v>0</v>
      </c>
      <c r="M102" s="113">
        <f>ROUND(IF($H$2=0,IF(AND(A102&lt;&gt;"13-930",A102&lt;&gt;"13-940"),(SUM(F102,H102,J102,L102,W102,S102,Q102)*Valores!$C$4),0),0),2)</f>
        <v>53469.36</v>
      </c>
      <c r="N102" s="113">
        <f t="shared" si="16"/>
        <v>0</v>
      </c>
      <c r="O102" s="113">
        <f>Valores!C$66</f>
        <v>157063.19</v>
      </c>
      <c r="P102" s="113">
        <f>Valores!$D$5</f>
        <v>49998.43</v>
      </c>
      <c r="Q102" s="113">
        <f>IF($F$4="NO",Valores!$C$23,Valores!$C$23/2)</f>
        <v>34731.18</v>
      </c>
      <c r="R102" s="113">
        <f>Valores!$C$8</f>
        <v>46521.33</v>
      </c>
      <c r="S102" s="113">
        <f t="shared" si="21"/>
        <v>46521.33</v>
      </c>
      <c r="T102" s="113">
        <v>0</v>
      </c>
      <c r="U102" s="113">
        <v>0</v>
      </c>
      <c r="V102" s="169">
        <v>0</v>
      </c>
      <c r="W102" s="113">
        <f>ROUND(V102*Valores!$C$2,2)</f>
        <v>0</v>
      </c>
      <c r="X102" s="113">
        <v>0</v>
      </c>
      <c r="Y102" s="188">
        <v>0</v>
      </c>
      <c r="Z102" s="113">
        <f t="shared" si="17"/>
        <v>0</v>
      </c>
      <c r="AA102" s="169">
        <v>0</v>
      </c>
      <c r="AB102" s="113">
        <f>ROUND(AA102*Valores!$C$2,2)</f>
        <v>0</v>
      </c>
      <c r="AC102" s="113">
        <f>ROUND(IF($F$4="NO",Valores!$C$32,Valores!$C$32/2),2)</f>
        <v>23377.77</v>
      </c>
      <c r="AD102" s="113">
        <f>SUM(F102,H102,J102,L102,M102,N102,O102,P102,Q102,S102,T102,U102,W102,X102,Z102,AB102,AC102)*Valores!$C$58</f>
        <v>49778.619000000006</v>
      </c>
      <c r="AE102" s="113">
        <f t="shared" si="18"/>
        <v>547564.80900000001</v>
      </c>
      <c r="AF102" s="113">
        <f>Valores!$C$11</f>
        <v>36428</v>
      </c>
      <c r="AG102" s="113">
        <f>Valores!$C$59</f>
        <v>25000</v>
      </c>
      <c r="AH102" s="113">
        <f t="shared" si="14"/>
        <v>61428</v>
      </c>
      <c r="AI102" s="113">
        <f>AE102*Valores!$C$39</f>
        <v>-60232.128990000005</v>
      </c>
      <c r="AJ102" s="113">
        <f>IF(AE102&lt;Valores!$E$40,-0.02,IF(AE102&lt;Valores!$F$40,-0.03,-0.04))*AE102</f>
        <v>-10951.296180000001</v>
      </c>
      <c r="AK102" s="113">
        <f>AE102*Valores!$C$42</f>
        <v>-30116.064495000002</v>
      </c>
      <c r="AL102" s="113">
        <f>Valores!$C$56</f>
        <v>-1270.1600000000001</v>
      </c>
      <c r="AM102" s="113">
        <f>IF($F$5=0,Valores!$C$57,(Valores!$C$57+$F$5*(Valores!$C$57)))</f>
        <v>-7026</v>
      </c>
      <c r="AN102" s="113">
        <f t="shared" si="19"/>
        <v>499397.15933499997</v>
      </c>
      <c r="AO102" s="113">
        <f t="shared" si="13"/>
        <v>-60232.128990000005</v>
      </c>
      <c r="AP102" s="113">
        <f t="shared" si="20"/>
        <v>-10951.296180000001</v>
      </c>
      <c r="AQ102" s="113">
        <f>AE102*Valores!$C$43</f>
        <v>-14784.249843</v>
      </c>
      <c r="AR102" s="113">
        <f>AE102*Valores!$C$44</f>
        <v>-1642.6944270000001</v>
      </c>
      <c r="AS102" s="113">
        <f t="shared" si="15"/>
        <v>521382.43956000003</v>
      </c>
      <c r="AT102" s="113">
        <f>AE102*Valores!$C$46</f>
        <v>87610.369440000009</v>
      </c>
      <c r="AU102" s="113">
        <f>AE102*Valores!$C$47</f>
        <v>38329.536630000002</v>
      </c>
      <c r="AV102" s="113">
        <f>AE102*Valores!$C$48</f>
        <v>5475.6480900000006</v>
      </c>
      <c r="AW102" s="113">
        <f>AE102*Valores!$C$50</f>
        <v>19164.768315000001</v>
      </c>
      <c r="AX102" s="113">
        <f>AE102*Valores!$C$52</f>
        <v>29568.499685999999</v>
      </c>
      <c r="AY102" s="113">
        <f>AE102*Valores!$C$51</f>
        <v>3285.3888540000003</v>
      </c>
      <c r="AZ102" s="114"/>
      <c r="BA102" s="114"/>
      <c r="BB102" s="111" t="s">
        <v>8</v>
      </c>
    </row>
    <row r="103" spans="1:54" s="100" customFormat="1" ht="11.25" customHeight="1" x14ac:dyDescent="0.15">
      <c r="A103" s="111" t="s">
        <v>258</v>
      </c>
      <c r="B103" s="111">
        <v>1</v>
      </c>
      <c r="C103" s="114">
        <v>96</v>
      </c>
      <c r="D103" s="112" t="s">
        <v>259</v>
      </c>
      <c r="E103" s="169">
        <v>67</v>
      </c>
      <c r="F103" s="113">
        <f>ROUND(E103*Valores!$C$2,2)</f>
        <v>6553</v>
      </c>
      <c r="G103" s="169">
        <v>2108</v>
      </c>
      <c r="H103" s="113">
        <f>ROUND(G103*Valores!$C$2,2)</f>
        <v>206175.05</v>
      </c>
      <c r="I103" s="169">
        <v>0</v>
      </c>
      <c r="J103" s="113">
        <f>ROUND(I103*Valores!$C$2,2)</f>
        <v>0</v>
      </c>
      <c r="K103" s="169">
        <v>0</v>
      </c>
      <c r="L103" s="113">
        <f>ROUND(K103*Valores!$C$2,2)</f>
        <v>0</v>
      </c>
      <c r="M103" s="113">
        <f>ROUND(IF($H$2=0,IF(AND(A103&lt;&gt;"13-930",A103&lt;&gt;"13-940"),(SUM(F103,H103,J103,L103,W103,S103,Q103)*Valores!$C$4),0),0),2)</f>
        <v>72397.899999999994</v>
      </c>
      <c r="N103" s="113">
        <f t="shared" si="16"/>
        <v>0</v>
      </c>
      <c r="O103" s="113">
        <f>Valores!C$69</f>
        <v>169940.3</v>
      </c>
      <c r="P103" s="113">
        <f>Valores!$D$5</f>
        <v>49998.43</v>
      </c>
      <c r="Q103" s="113">
        <f>IF($F$4="NO",Valores!$C$21,Valores!$C$21/2)</f>
        <v>30817.87</v>
      </c>
      <c r="R103" s="113">
        <f>Valores!$C$9</f>
        <v>46045.69</v>
      </c>
      <c r="S103" s="113">
        <f t="shared" si="21"/>
        <v>46045.69</v>
      </c>
      <c r="T103" s="113">
        <v>0</v>
      </c>
      <c r="U103" s="113">
        <v>0</v>
      </c>
      <c r="V103" s="169">
        <v>0</v>
      </c>
      <c r="W103" s="113">
        <f>ROUND(V103*Valores!$C$2,2)</f>
        <v>0</v>
      </c>
      <c r="X103" s="113">
        <v>0</v>
      </c>
      <c r="Y103" s="188">
        <v>0</v>
      </c>
      <c r="Z103" s="113">
        <f t="shared" si="17"/>
        <v>0</v>
      </c>
      <c r="AA103" s="169">
        <v>0</v>
      </c>
      <c r="AB103" s="113">
        <f>ROUND(AA103*Valores!$C$2,2)</f>
        <v>0</v>
      </c>
      <c r="AC103" s="113">
        <f>ROUND(IF($F$4="NO",Valores!$C$32,Valores!$C$32/2),2)</f>
        <v>23377.77</v>
      </c>
      <c r="AD103" s="113">
        <f>SUM(F103,H103,J103,L103,M103,N103,O103,P103,Q103,S103,T103,U103,W103,X103,Z103,AB103,AC103)*Valores!$C$58</f>
        <v>60530.601000000002</v>
      </c>
      <c r="AE103" s="113">
        <f t="shared" si="18"/>
        <v>665836.61100000003</v>
      </c>
      <c r="AF103" s="113">
        <f>Valores!$C$11</f>
        <v>36428</v>
      </c>
      <c r="AG103" s="113">
        <f>Valores!$C$59</f>
        <v>25000</v>
      </c>
      <c r="AH103" s="113">
        <f t="shared" si="14"/>
        <v>61428</v>
      </c>
      <c r="AI103" s="113">
        <f>AE103*Valores!$C$39</f>
        <v>-73242.02721</v>
      </c>
      <c r="AJ103" s="113">
        <f>IF(AE103&lt;Valores!$E$40,-0.02,IF(AE103&lt;Valores!$F$40,-0.03,-0.04))*AE103</f>
        <v>-13316.732220000002</v>
      </c>
      <c r="AK103" s="113">
        <f>AE103*Valores!$C$42</f>
        <v>-36621.013605</v>
      </c>
      <c r="AL103" s="113">
        <f>Valores!$C$56</f>
        <v>-1270.1600000000001</v>
      </c>
      <c r="AM103" s="113">
        <f>IF($F$5=0,Valores!$C$57,(Valores!$C$57+$F$5*(Valores!$C$57)))</f>
        <v>-7026</v>
      </c>
      <c r="AN103" s="113">
        <f t="shared" si="19"/>
        <v>595788.67796500004</v>
      </c>
      <c r="AO103" s="113">
        <f t="shared" si="13"/>
        <v>-73242.02721</v>
      </c>
      <c r="AP103" s="113">
        <f t="shared" si="20"/>
        <v>-13316.732220000002</v>
      </c>
      <c r="AQ103" s="113">
        <f>AE103*Valores!$C$43</f>
        <v>-17977.588497000001</v>
      </c>
      <c r="AR103" s="113">
        <f>AE103*Valores!$C$44</f>
        <v>-1997.5098330000001</v>
      </c>
      <c r="AS103" s="113">
        <f t="shared" si="15"/>
        <v>620730.75323999999</v>
      </c>
      <c r="AT103" s="113">
        <f>AE103*Valores!$C$46</f>
        <v>106533.85776000001</v>
      </c>
      <c r="AU103" s="113">
        <f>AE103*Valores!$C$47</f>
        <v>46608.562770000004</v>
      </c>
      <c r="AV103" s="113">
        <f>AE103*Valores!$C$48</f>
        <v>6658.3661100000008</v>
      </c>
      <c r="AW103" s="113">
        <f>AE103*Valores!$C$50</f>
        <v>23304.281385000002</v>
      </c>
      <c r="AX103" s="113">
        <f>AE103*Valores!$C$52</f>
        <v>35955.176994000001</v>
      </c>
      <c r="AY103" s="113">
        <f>AE103*Valores!$C$51</f>
        <v>3995.0196660000001</v>
      </c>
      <c r="AZ103" s="114"/>
      <c r="BA103" s="114">
        <v>30</v>
      </c>
      <c r="BB103" s="111" t="s">
        <v>4</v>
      </c>
    </row>
    <row r="104" spans="1:54" s="100" customFormat="1" ht="11.25" customHeight="1" x14ac:dyDescent="0.15">
      <c r="A104" s="111" t="s">
        <v>260</v>
      </c>
      <c r="B104" s="111">
        <v>1</v>
      </c>
      <c r="C104" s="114">
        <v>97</v>
      </c>
      <c r="D104" s="112" t="s">
        <v>261</v>
      </c>
      <c r="E104" s="169">
        <v>45</v>
      </c>
      <c r="F104" s="113">
        <f>ROUND(E104*Valores!$C$2,2)</f>
        <v>4401.2700000000004</v>
      </c>
      <c r="G104" s="169">
        <v>1502</v>
      </c>
      <c r="H104" s="113">
        <f>ROUND(G104*Valores!$C$2,2)</f>
        <v>146904.60999999999</v>
      </c>
      <c r="I104" s="169">
        <v>0</v>
      </c>
      <c r="J104" s="113">
        <f>ROUND(I104*Valores!$C$2,2)</f>
        <v>0</v>
      </c>
      <c r="K104" s="169">
        <v>0</v>
      </c>
      <c r="L104" s="113">
        <f>ROUND(K104*Valores!$C$2,2)</f>
        <v>0</v>
      </c>
      <c r="M104" s="113">
        <f>ROUND(IF($H$2=0,IF(AND(A104&lt;&gt;"13-930",A104&lt;&gt;"13-940"),(SUM(F104,H104,J104,L104,W104,S104,Q104)*Valores!$C$4),0),0),2)</f>
        <v>57042.36</v>
      </c>
      <c r="N104" s="113">
        <f t="shared" si="16"/>
        <v>0</v>
      </c>
      <c r="O104" s="113">
        <f>Valores!C$69</f>
        <v>169940.3</v>
      </c>
      <c r="P104" s="113">
        <f>Valores!$D$5</f>
        <v>49998.43</v>
      </c>
      <c r="Q104" s="113">
        <f>IF($F$4="NO",Valores!$C$21,Valores!$C$21/2)</f>
        <v>30817.87</v>
      </c>
      <c r="R104" s="113">
        <f>Valores!$C$9</f>
        <v>46045.69</v>
      </c>
      <c r="S104" s="113">
        <f t="shared" si="21"/>
        <v>46045.69</v>
      </c>
      <c r="T104" s="113">
        <v>0</v>
      </c>
      <c r="U104" s="113">
        <v>0</v>
      </c>
      <c r="V104" s="169">
        <v>0</v>
      </c>
      <c r="W104" s="113">
        <f>ROUND(V104*Valores!$C$2,2)</f>
        <v>0</v>
      </c>
      <c r="X104" s="113">
        <v>0</v>
      </c>
      <c r="Y104" s="188">
        <v>0</v>
      </c>
      <c r="Z104" s="113">
        <f t="shared" si="17"/>
        <v>0</v>
      </c>
      <c r="AA104" s="169">
        <v>0</v>
      </c>
      <c r="AB104" s="113">
        <f>ROUND(AA104*Valores!$C$2,2)</f>
        <v>0</v>
      </c>
      <c r="AC104" s="113">
        <f>ROUND(IF($F$4="NO",Valores!$C$32,Valores!$C$32/2),2)</f>
        <v>23377.77</v>
      </c>
      <c r="AD104" s="113">
        <f>SUM(F104,H104,J104,L104,M104,N104,O104,P104,Q104,S104,T104,U104,W104,X104,Z104,AB104,AC104)*Valores!$C$58</f>
        <v>52852.829999999994</v>
      </c>
      <c r="AE104" s="113">
        <f t="shared" si="18"/>
        <v>581381.12999999989</v>
      </c>
      <c r="AF104" s="113">
        <f>Valores!$C$11</f>
        <v>36428</v>
      </c>
      <c r="AG104" s="113">
        <f>Valores!$C$59</f>
        <v>25000</v>
      </c>
      <c r="AH104" s="113">
        <f t="shared" si="14"/>
        <v>61428</v>
      </c>
      <c r="AI104" s="113">
        <f>AE104*Valores!$C$39</f>
        <v>-63951.924299999991</v>
      </c>
      <c r="AJ104" s="113">
        <f>IF(AE104&lt;Valores!$E$40,-0.02,IF(AE104&lt;Valores!$F$40,-0.03,-0.04))*AE104</f>
        <v>-11627.622599999999</v>
      </c>
      <c r="AK104" s="113">
        <f>AE104*Valores!$C$42</f>
        <v>-31975.962149999996</v>
      </c>
      <c r="AL104" s="113">
        <f>Valores!$C$56</f>
        <v>-1270.1600000000001</v>
      </c>
      <c r="AM104" s="113">
        <f>IF($F$5=0,Valores!$C$57,(Valores!$C$57+$F$5*(Valores!$C$57)))</f>
        <v>-7026</v>
      </c>
      <c r="AN104" s="113">
        <f t="shared" si="19"/>
        <v>526957.46094999986</v>
      </c>
      <c r="AO104" s="113">
        <f t="shared" si="13"/>
        <v>-63951.924299999991</v>
      </c>
      <c r="AP104" s="113">
        <f t="shared" si="20"/>
        <v>-11627.622599999999</v>
      </c>
      <c r="AQ104" s="113">
        <f>AE104*Valores!$C$43</f>
        <v>-15697.290509999997</v>
      </c>
      <c r="AR104" s="113">
        <f>AE104*Valores!$C$44</f>
        <v>-1744.1433899999997</v>
      </c>
      <c r="AS104" s="113">
        <f t="shared" si="15"/>
        <v>549788.14919999987</v>
      </c>
      <c r="AT104" s="113">
        <f>AE104*Valores!$C$46</f>
        <v>93020.98079999999</v>
      </c>
      <c r="AU104" s="113">
        <f>AE104*Valores!$C$47</f>
        <v>40696.679099999994</v>
      </c>
      <c r="AV104" s="113">
        <f>AE104*Valores!$C$48</f>
        <v>5813.8112999999994</v>
      </c>
      <c r="AW104" s="113">
        <f>AE104*Valores!$C$50</f>
        <v>20348.339549999997</v>
      </c>
      <c r="AX104" s="113">
        <f>AE104*Valores!$C$52</f>
        <v>31394.581019999994</v>
      </c>
      <c r="AY104" s="113">
        <f>AE104*Valores!$C$51</f>
        <v>3488.2867799999995</v>
      </c>
      <c r="AZ104" s="114"/>
      <c r="BA104" s="114"/>
      <c r="BB104" s="111" t="s">
        <v>4</v>
      </c>
    </row>
    <row r="105" spans="1:54" s="100" customFormat="1" ht="11.25" customHeight="1" x14ac:dyDescent="0.15">
      <c r="A105" s="111" t="s">
        <v>262</v>
      </c>
      <c r="B105" s="111">
        <v>1</v>
      </c>
      <c r="C105" s="114">
        <v>98</v>
      </c>
      <c r="D105" s="112" t="s">
        <v>263</v>
      </c>
      <c r="E105" s="169">
        <v>61</v>
      </c>
      <c r="F105" s="113">
        <f>ROUND(E105*Valores!$C$2,2)</f>
        <v>5966.17</v>
      </c>
      <c r="G105" s="169">
        <v>2114</v>
      </c>
      <c r="H105" s="113">
        <f>ROUND(G105*Valores!$C$2,2)</f>
        <v>206761.88</v>
      </c>
      <c r="I105" s="169">
        <v>0</v>
      </c>
      <c r="J105" s="113">
        <f>ROUND(I105*Valores!$C$2,2)</f>
        <v>0</v>
      </c>
      <c r="K105" s="169">
        <v>0</v>
      </c>
      <c r="L105" s="113">
        <f>ROUND(K105*Valores!$C$2,2)</f>
        <v>0</v>
      </c>
      <c r="M105" s="113">
        <f>ROUND(IF($H$2=0,IF(AND(A105&lt;&gt;"13-930",A105&lt;&gt;"13-940"),(SUM(F105,H105,J105,L105,W105,S105,Q105)*Valores!$C$4),0),0),2)</f>
        <v>72397.899999999994</v>
      </c>
      <c r="N105" s="113">
        <f t="shared" si="16"/>
        <v>0</v>
      </c>
      <c r="O105" s="113">
        <f>Valores!C$69</f>
        <v>169940.3</v>
      </c>
      <c r="P105" s="113">
        <f>Valores!$D$5</f>
        <v>49998.43</v>
      </c>
      <c r="Q105" s="113">
        <f>IF($F$4="NO",Valores!$C$21,Valores!$C$21/2)</f>
        <v>30817.87</v>
      </c>
      <c r="R105" s="113">
        <f>Valores!$C$9</f>
        <v>46045.69</v>
      </c>
      <c r="S105" s="113">
        <f t="shared" si="21"/>
        <v>46045.69</v>
      </c>
      <c r="T105" s="113">
        <v>0</v>
      </c>
      <c r="U105" s="113">
        <v>0</v>
      </c>
      <c r="V105" s="169">
        <v>0</v>
      </c>
      <c r="W105" s="113">
        <f>ROUND(V105*Valores!$C$2,2)</f>
        <v>0</v>
      </c>
      <c r="X105" s="113">
        <v>0</v>
      </c>
      <c r="Y105" s="188">
        <v>0</v>
      </c>
      <c r="Z105" s="113">
        <f t="shared" si="17"/>
        <v>0</v>
      </c>
      <c r="AA105" s="169">
        <v>0</v>
      </c>
      <c r="AB105" s="113">
        <f>ROUND(AA105*Valores!$C$2,2)</f>
        <v>0</v>
      </c>
      <c r="AC105" s="113">
        <f>ROUND(IF($F$4="NO",Valores!$C$32,Valores!$C$32/2),2)</f>
        <v>23377.77</v>
      </c>
      <c r="AD105" s="113">
        <f>SUM(F105,H105,J105,L105,M105,N105,O105,P105,Q105,S105,T105,U105,W105,X105,Z105,AB105,AC105)*Valores!$C$58</f>
        <v>60530.601000000002</v>
      </c>
      <c r="AE105" s="113">
        <f t="shared" si="18"/>
        <v>665836.61100000003</v>
      </c>
      <c r="AF105" s="113">
        <f>Valores!$C$11</f>
        <v>36428</v>
      </c>
      <c r="AG105" s="113">
        <f>Valores!$C$59</f>
        <v>25000</v>
      </c>
      <c r="AH105" s="113">
        <f t="shared" si="14"/>
        <v>61428</v>
      </c>
      <c r="AI105" s="113">
        <f>AE105*Valores!$C$39</f>
        <v>-73242.02721</v>
      </c>
      <c r="AJ105" s="113">
        <f>IF(AE105&lt;Valores!$E$40,-0.02,IF(AE105&lt;Valores!$F$40,-0.03,-0.04))*AE105</f>
        <v>-13316.732220000002</v>
      </c>
      <c r="AK105" s="113">
        <f>AE105*Valores!$C$42</f>
        <v>-36621.013605</v>
      </c>
      <c r="AL105" s="113">
        <f>Valores!$C$56</f>
        <v>-1270.1600000000001</v>
      </c>
      <c r="AM105" s="113">
        <f>IF($F$5=0,Valores!$C$57,(Valores!$C$57+$F$5*(Valores!$C$57)))</f>
        <v>-7026</v>
      </c>
      <c r="AN105" s="113">
        <f t="shared" si="19"/>
        <v>595788.67796500004</v>
      </c>
      <c r="AO105" s="113">
        <f t="shared" si="13"/>
        <v>-73242.02721</v>
      </c>
      <c r="AP105" s="113">
        <f t="shared" si="20"/>
        <v>-13316.732220000002</v>
      </c>
      <c r="AQ105" s="113">
        <f>AE105*Valores!$C$43</f>
        <v>-17977.588497000001</v>
      </c>
      <c r="AR105" s="113">
        <f>AE105*Valores!$C$44</f>
        <v>-1997.5098330000001</v>
      </c>
      <c r="AS105" s="113">
        <f t="shared" si="15"/>
        <v>620730.75323999999</v>
      </c>
      <c r="AT105" s="113">
        <f>AE105*Valores!$C$46</f>
        <v>106533.85776000001</v>
      </c>
      <c r="AU105" s="113">
        <f>AE105*Valores!$C$47</f>
        <v>46608.562770000004</v>
      </c>
      <c r="AV105" s="113">
        <f>AE105*Valores!$C$48</f>
        <v>6658.3661100000008</v>
      </c>
      <c r="AW105" s="113">
        <f>AE105*Valores!$C$50</f>
        <v>23304.281385000002</v>
      </c>
      <c r="AX105" s="113">
        <f>AE105*Valores!$C$52</f>
        <v>35955.176994000001</v>
      </c>
      <c r="AY105" s="113">
        <f>AE105*Valores!$C$51</f>
        <v>3995.0196660000001</v>
      </c>
      <c r="AZ105" s="114"/>
      <c r="BA105" s="114">
        <v>30</v>
      </c>
      <c r="BB105" s="111" t="s">
        <v>4</v>
      </c>
    </row>
    <row r="106" spans="1:54" s="100" customFormat="1" ht="11.25" customHeight="1" x14ac:dyDescent="0.15">
      <c r="A106" s="111" t="s">
        <v>264</v>
      </c>
      <c r="B106" s="111">
        <v>1</v>
      </c>
      <c r="C106" s="114">
        <v>99</v>
      </c>
      <c r="D106" s="112" t="s">
        <v>265</v>
      </c>
      <c r="E106" s="169">
        <v>59</v>
      </c>
      <c r="F106" s="113">
        <f>ROUND(E106*Valores!$C$2,2)</f>
        <v>5770.55</v>
      </c>
      <c r="G106" s="169">
        <v>2013</v>
      </c>
      <c r="H106" s="113">
        <f>ROUND(G106*Valores!$C$2,2)</f>
        <v>196883.48</v>
      </c>
      <c r="I106" s="169">
        <v>0</v>
      </c>
      <c r="J106" s="113">
        <f>ROUND(I106*Valores!$C$2,2)</f>
        <v>0</v>
      </c>
      <c r="K106" s="169">
        <v>0</v>
      </c>
      <c r="L106" s="113">
        <f>ROUND(K106*Valores!$C$2,2)</f>
        <v>0</v>
      </c>
      <c r="M106" s="113">
        <f>ROUND(IF($H$2=0,IF(AND(A106&lt;&gt;"13-930",A106&lt;&gt;"13-940"),(SUM(F106,H106,J106,L106,W106,S106,Q106)*Valores!$C$4),0),0),2)</f>
        <v>69879.399999999994</v>
      </c>
      <c r="N106" s="113">
        <f t="shared" si="16"/>
        <v>0</v>
      </c>
      <c r="O106" s="113">
        <f>Valores!C$69</f>
        <v>169940.3</v>
      </c>
      <c r="P106" s="113">
        <f>Valores!$D$5</f>
        <v>49998.43</v>
      </c>
      <c r="Q106" s="113">
        <f>IF($F$4="NO",Valores!$C$21,Valores!$C$21/2)</f>
        <v>30817.87</v>
      </c>
      <c r="R106" s="113">
        <f>Valores!$C$9</f>
        <v>46045.69</v>
      </c>
      <c r="S106" s="113">
        <f t="shared" si="21"/>
        <v>46045.69</v>
      </c>
      <c r="T106" s="113">
        <v>0</v>
      </c>
      <c r="U106" s="113">
        <v>0</v>
      </c>
      <c r="V106" s="169">
        <v>0</v>
      </c>
      <c r="W106" s="113">
        <f>ROUND(V106*Valores!$C$2,2)</f>
        <v>0</v>
      </c>
      <c r="X106" s="113">
        <v>0</v>
      </c>
      <c r="Y106" s="188">
        <v>0</v>
      </c>
      <c r="Z106" s="113">
        <f t="shared" si="17"/>
        <v>0</v>
      </c>
      <c r="AA106" s="169">
        <v>0</v>
      </c>
      <c r="AB106" s="113">
        <f>ROUND(AA106*Valores!$C$2,2)</f>
        <v>0</v>
      </c>
      <c r="AC106" s="113">
        <f>ROUND(IF($F$4="NO",Valores!$C$32,Valores!$C$32/2),2)</f>
        <v>23377.77</v>
      </c>
      <c r="AD106" s="113">
        <f>SUM(F106,H106,J106,L106,M106,N106,O106,P106,Q106,S106,T106,U106,W106,X106,Z106,AB106,AC106)*Valores!$C$58</f>
        <v>59271.349000000002</v>
      </c>
      <c r="AE106" s="113">
        <f t="shared" si="18"/>
        <v>651984.83900000004</v>
      </c>
      <c r="AF106" s="113">
        <f>Valores!$C$11</f>
        <v>36428</v>
      </c>
      <c r="AG106" s="113">
        <f>Valores!$C$59</f>
        <v>25000</v>
      </c>
      <c r="AH106" s="113">
        <f t="shared" si="14"/>
        <v>61428</v>
      </c>
      <c r="AI106" s="113">
        <f>AE106*Valores!$C$39</f>
        <v>-71718.332290000006</v>
      </c>
      <c r="AJ106" s="113">
        <f>IF(AE106&lt;Valores!$E$40,-0.02,IF(AE106&lt;Valores!$F$40,-0.03,-0.04))*AE106</f>
        <v>-13039.69678</v>
      </c>
      <c r="AK106" s="113">
        <f>AE106*Valores!$C$42</f>
        <v>-35859.166145000003</v>
      </c>
      <c r="AL106" s="113">
        <f>Valores!$C$56</f>
        <v>-1270.1600000000001</v>
      </c>
      <c r="AM106" s="113">
        <f>IF($F$5=0,Valores!$C$57,(Valores!$C$57+$F$5*(Valores!$C$57)))</f>
        <v>-7026</v>
      </c>
      <c r="AN106" s="113">
        <f t="shared" si="19"/>
        <v>584499.48378500005</v>
      </c>
      <c r="AO106" s="113">
        <f t="shared" si="13"/>
        <v>-71718.332290000006</v>
      </c>
      <c r="AP106" s="113">
        <f t="shared" si="20"/>
        <v>-13039.69678</v>
      </c>
      <c r="AQ106" s="113">
        <f>AE106*Valores!$C$43</f>
        <v>-17603.590652999999</v>
      </c>
      <c r="AR106" s="113">
        <f>AE106*Valores!$C$44</f>
        <v>-1955.9545170000001</v>
      </c>
      <c r="AS106" s="113">
        <f t="shared" si="15"/>
        <v>609095.26476000005</v>
      </c>
      <c r="AT106" s="113">
        <f>AE106*Valores!$C$46</f>
        <v>104317.57424</v>
      </c>
      <c r="AU106" s="113">
        <f>AE106*Valores!$C$47</f>
        <v>45638.938730000009</v>
      </c>
      <c r="AV106" s="113">
        <f>AE106*Valores!$C$48</f>
        <v>6519.8483900000001</v>
      </c>
      <c r="AW106" s="113">
        <f>AE106*Valores!$C$50</f>
        <v>22819.469365000004</v>
      </c>
      <c r="AX106" s="113">
        <f>AE106*Valores!$C$52</f>
        <v>35207.181305999999</v>
      </c>
      <c r="AY106" s="113">
        <f>AE106*Valores!$C$51</f>
        <v>3911.9090340000002</v>
      </c>
      <c r="AZ106" s="114"/>
      <c r="BA106" s="114">
        <v>30</v>
      </c>
      <c r="BB106" s="111" t="s">
        <v>4</v>
      </c>
    </row>
    <row r="107" spans="1:54" s="100" customFormat="1" ht="11.25" customHeight="1" x14ac:dyDescent="0.15">
      <c r="A107" s="111" t="s">
        <v>266</v>
      </c>
      <c r="B107" s="111">
        <v>1</v>
      </c>
      <c r="C107" s="114">
        <v>100</v>
      </c>
      <c r="D107" s="112" t="s">
        <v>267</v>
      </c>
      <c r="E107" s="169">
        <v>56</v>
      </c>
      <c r="F107" s="113">
        <f>ROUND(E107*Valores!$C$2,2)</f>
        <v>5477.14</v>
      </c>
      <c r="G107" s="169">
        <v>1720</v>
      </c>
      <c r="H107" s="113">
        <f>ROUND(G107*Valores!$C$2,2)</f>
        <v>168226.32</v>
      </c>
      <c r="I107" s="169">
        <v>0</v>
      </c>
      <c r="J107" s="113">
        <f>ROUND(I107*Valores!$C$2,2)</f>
        <v>0</v>
      </c>
      <c r="K107" s="169">
        <v>0</v>
      </c>
      <c r="L107" s="113">
        <f>ROUND(K107*Valores!$C$2,2)</f>
        <v>0</v>
      </c>
      <c r="M107" s="113">
        <f>ROUND(IF($H$2=0,IF(AND(A107&lt;&gt;"13-930",A107&lt;&gt;"13-940"),(SUM(F107,H107,J107,L107,W107,S107,Q107)*Valores!$C$4),0),0),2)</f>
        <v>62641.760000000002</v>
      </c>
      <c r="N107" s="113">
        <f t="shared" si="16"/>
        <v>0</v>
      </c>
      <c r="O107" s="113">
        <f>Valores!C$69</f>
        <v>169940.3</v>
      </c>
      <c r="P107" s="113">
        <f>Valores!$D$5</f>
        <v>49998.43</v>
      </c>
      <c r="Q107" s="113">
        <f>IF($F$4="NO",Valores!$C$21,Valores!$C$21/2)</f>
        <v>30817.87</v>
      </c>
      <c r="R107" s="113">
        <f>Valores!$C$9</f>
        <v>46045.69</v>
      </c>
      <c r="S107" s="113">
        <f t="shared" si="21"/>
        <v>46045.69</v>
      </c>
      <c r="T107" s="113">
        <v>0</v>
      </c>
      <c r="U107" s="113">
        <v>0</v>
      </c>
      <c r="V107" s="169">
        <v>0</v>
      </c>
      <c r="W107" s="113">
        <f>ROUND(V107*Valores!$C$2,2)</f>
        <v>0</v>
      </c>
      <c r="X107" s="113">
        <v>0</v>
      </c>
      <c r="Y107" s="188">
        <v>0</v>
      </c>
      <c r="Z107" s="113">
        <f t="shared" si="17"/>
        <v>0</v>
      </c>
      <c r="AA107" s="169">
        <v>0</v>
      </c>
      <c r="AB107" s="113">
        <f>ROUND(AA107*Valores!$C$2,2)</f>
        <v>0</v>
      </c>
      <c r="AC107" s="113">
        <f>ROUND(IF($F$4="NO",Valores!$C$32,Valores!$C$32/2),2)</f>
        <v>23377.77</v>
      </c>
      <c r="AD107" s="113">
        <f>SUM(F107,H107,J107,L107,M107,N107,O107,P107,Q107,S107,T107,U107,W107,X107,Z107,AB107,AC107)*Valores!$C$58</f>
        <v>55652.528000000006</v>
      </c>
      <c r="AE107" s="113">
        <f t="shared" si="18"/>
        <v>612177.80800000008</v>
      </c>
      <c r="AF107" s="113">
        <f>Valores!$C$11</f>
        <v>36428</v>
      </c>
      <c r="AG107" s="113">
        <f>Valores!$C$59</f>
        <v>25000</v>
      </c>
      <c r="AH107" s="113">
        <f t="shared" si="14"/>
        <v>61428</v>
      </c>
      <c r="AI107" s="113">
        <f>AE107*Valores!$C$39</f>
        <v>-67339.558880000011</v>
      </c>
      <c r="AJ107" s="113">
        <f>IF(AE107&lt;Valores!$E$40,-0.02,IF(AE107&lt;Valores!$F$40,-0.03,-0.04))*AE107</f>
        <v>-12243.556160000002</v>
      </c>
      <c r="AK107" s="113">
        <f>AE107*Valores!$C$42</f>
        <v>-33669.779440000006</v>
      </c>
      <c r="AL107" s="113">
        <f>Valores!$C$56</f>
        <v>-1270.1600000000001</v>
      </c>
      <c r="AM107" s="113">
        <f>IF($F$5=0,Valores!$C$57,(Valores!$C$57+$F$5*(Valores!$C$57)))</f>
        <v>-7026</v>
      </c>
      <c r="AN107" s="113">
        <f t="shared" si="19"/>
        <v>552056.75352000003</v>
      </c>
      <c r="AO107" s="113">
        <f t="shared" si="13"/>
        <v>-67339.558880000011</v>
      </c>
      <c r="AP107" s="113">
        <f t="shared" si="20"/>
        <v>-12243.556160000002</v>
      </c>
      <c r="AQ107" s="113">
        <f>AE107*Valores!$C$43</f>
        <v>-16528.800816000003</v>
      </c>
      <c r="AR107" s="113">
        <f>AE107*Valores!$C$44</f>
        <v>-1836.5334240000002</v>
      </c>
      <c r="AS107" s="113">
        <f t="shared" si="15"/>
        <v>575657.35872000002</v>
      </c>
      <c r="AT107" s="113">
        <f>AE107*Valores!$C$46</f>
        <v>97948.449280000015</v>
      </c>
      <c r="AU107" s="113">
        <f>AE107*Valores!$C$47</f>
        <v>42852.446560000011</v>
      </c>
      <c r="AV107" s="113">
        <f>AE107*Valores!$C$48</f>
        <v>6121.778080000001</v>
      </c>
      <c r="AW107" s="113">
        <f>AE107*Valores!$C$50</f>
        <v>21426.223280000006</v>
      </c>
      <c r="AX107" s="113">
        <f>AE107*Valores!$C$52</f>
        <v>33057.601632000005</v>
      </c>
      <c r="AY107" s="113">
        <f>AE107*Valores!$C$51</f>
        <v>3673.0668480000004</v>
      </c>
      <c r="AZ107" s="114"/>
      <c r="BA107" s="114">
        <v>30</v>
      </c>
      <c r="BB107" s="111" t="s">
        <v>4</v>
      </c>
    </row>
    <row r="108" spans="1:54" s="100" customFormat="1" ht="11.25" customHeight="1" x14ac:dyDescent="0.15">
      <c r="A108" s="111" t="s">
        <v>268</v>
      </c>
      <c r="B108" s="111">
        <v>1</v>
      </c>
      <c r="C108" s="114">
        <v>101</v>
      </c>
      <c r="D108" s="112" t="s">
        <v>269</v>
      </c>
      <c r="E108" s="169">
        <v>45</v>
      </c>
      <c r="F108" s="113">
        <f>ROUND(E108*Valores!$C$2,2)</f>
        <v>4401.2700000000004</v>
      </c>
      <c r="G108" s="169">
        <v>1502</v>
      </c>
      <c r="H108" s="113">
        <f>ROUND(G108*Valores!$C$2,2)</f>
        <v>146904.60999999999</v>
      </c>
      <c r="I108" s="169">
        <v>0</v>
      </c>
      <c r="J108" s="113">
        <f>ROUND(I108*Valores!$C$2,2)</f>
        <v>0</v>
      </c>
      <c r="K108" s="169">
        <v>0</v>
      </c>
      <c r="L108" s="113">
        <f>ROUND(K108*Valores!$C$2,2)</f>
        <v>0</v>
      </c>
      <c r="M108" s="113">
        <f>ROUND(IF($H$2=0,IF(AND(A108&lt;&gt;"13-930",A108&lt;&gt;"13-940"),(SUM(F108,H108,J108,L108,W108,S108,Q108)*Valores!$C$4),0),0),2)</f>
        <v>57042.36</v>
      </c>
      <c r="N108" s="113">
        <f t="shared" si="16"/>
        <v>0</v>
      </c>
      <c r="O108" s="113">
        <f>Valores!C$69</f>
        <v>169940.3</v>
      </c>
      <c r="P108" s="113">
        <f>Valores!$D$5</f>
        <v>49998.43</v>
      </c>
      <c r="Q108" s="113">
        <f>IF($F$4="NO",Valores!$C$21,Valores!$C$21/2)</f>
        <v>30817.87</v>
      </c>
      <c r="R108" s="113">
        <f>Valores!$C$9</f>
        <v>46045.69</v>
      </c>
      <c r="S108" s="113">
        <f t="shared" si="21"/>
        <v>46045.69</v>
      </c>
      <c r="T108" s="113">
        <v>0</v>
      </c>
      <c r="U108" s="113">
        <v>0</v>
      </c>
      <c r="V108" s="169">
        <v>0</v>
      </c>
      <c r="W108" s="113">
        <f>ROUND(V108*Valores!$C$2,2)</f>
        <v>0</v>
      </c>
      <c r="X108" s="113">
        <v>0</v>
      </c>
      <c r="Y108" s="188">
        <v>0</v>
      </c>
      <c r="Z108" s="113">
        <f t="shared" si="17"/>
        <v>0</v>
      </c>
      <c r="AA108" s="169">
        <v>0</v>
      </c>
      <c r="AB108" s="113">
        <f>ROUND(AA108*Valores!$C$2,2)</f>
        <v>0</v>
      </c>
      <c r="AC108" s="113">
        <f>ROUND(IF($F$4="NO",Valores!$C$32,Valores!$C$32/2),2)</f>
        <v>23377.77</v>
      </c>
      <c r="AD108" s="113">
        <f>SUM(F108,H108,J108,L108,M108,N108,O108,P108,Q108,S108,T108,U108,W108,X108,Z108,AB108,AC108)*Valores!$C$58</f>
        <v>52852.829999999994</v>
      </c>
      <c r="AE108" s="113">
        <f t="shared" si="18"/>
        <v>581381.12999999989</v>
      </c>
      <c r="AF108" s="113">
        <f>Valores!$C$11</f>
        <v>36428</v>
      </c>
      <c r="AG108" s="113">
        <f>Valores!$C$59</f>
        <v>25000</v>
      </c>
      <c r="AH108" s="113">
        <f t="shared" si="14"/>
        <v>61428</v>
      </c>
      <c r="AI108" s="113">
        <f>AE108*Valores!$C$39</f>
        <v>-63951.924299999991</v>
      </c>
      <c r="AJ108" s="113">
        <f>IF(AE108&lt;Valores!$E$40,-0.02,IF(AE108&lt;Valores!$F$40,-0.03,-0.04))*AE108</f>
        <v>-11627.622599999999</v>
      </c>
      <c r="AK108" s="113">
        <f>AE108*Valores!$C$42</f>
        <v>-31975.962149999996</v>
      </c>
      <c r="AL108" s="113">
        <f>Valores!$C$56</f>
        <v>-1270.1600000000001</v>
      </c>
      <c r="AM108" s="113">
        <f>IF($F$5=0,Valores!$C$57,(Valores!$C$57+$F$5*(Valores!$C$57)))</f>
        <v>-7026</v>
      </c>
      <c r="AN108" s="113">
        <f t="shared" si="19"/>
        <v>526957.46094999986</v>
      </c>
      <c r="AO108" s="113">
        <f t="shared" si="13"/>
        <v>-63951.924299999991</v>
      </c>
      <c r="AP108" s="113">
        <f t="shared" si="20"/>
        <v>-11627.622599999999</v>
      </c>
      <c r="AQ108" s="113">
        <f>AE108*Valores!$C$43</f>
        <v>-15697.290509999997</v>
      </c>
      <c r="AR108" s="113">
        <f>AE108*Valores!$C$44</f>
        <v>-1744.1433899999997</v>
      </c>
      <c r="AS108" s="113">
        <f t="shared" si="15"/>
        <v>549788.14919999987</v>
      </c>
      <c r="AT108" s="113">
        <f>AE108*Valores!$C$46</f>
        <v>93020.98079999999</v>
      </c>
      <c r="AU108" s="113">
        <f>AE108*Valores!$C$47</f>
        <v>40696.679099999994</v>
      </c>
      <c r="AV108" s="113">
        <f>AE108*Valores!$C$48</f>
        <v>5813.8112999999994</v>
      </c>
      <c r="AW108" s="113">
        <f>AE108*Valores!$C$50</f>
        <v>20348.339549999997</v>
      </c>
      <c r="AX108" s="113">
        <f>AE108*Valores!$C$52</f>
        <v>31394.581019999994</v>
      </c>
      <c r="AY108" s="113">
        <f>AE108*Valores!$C$51</f>
        <v>3488.2867799999995</v>
      </c>
      <c r="AZ108" s="114"/>
      <c r="BA108" s="114">
        <v>30</v>
      </c>
      <c r="BB108" s="111" t="s">
        <v>4</v>
      </c>
    </row>
    <row r="109" spans="1:54" s="100" customFormat="1" ht="11.25" customHeight="1" x14ac:dyDescent="0.15">
      <c r="A109" s="111" t="s">
        <v>270</v>
      </c>
      <c r="B109" s="111">
        <v>1</v>
      </c>
      <c r="C109" s="114">
        <v>102</v>
      </c>
      <c r="D109" s="112" t="s">
        <v>271</v>
      </c>
      <c r="E109" s="169">
        <v>45</v>
      </c>
      <c r="F109" s="113">
        <f>ROUND(E109*Valores!$C$2,2)</f>
        <v>4401.2700000000004</v>
      </c>
      <c r="G109" s="169">
        <v>1139</v>
      </c>
      <c r="H109" s="113">
        <f>ROUND(G109*Valores!$C$2,2)</f>
        <v>111401.03</v>
      </c>
      <c r="I109" s="169">
        <v>0</v>
      </c>
      <c r="J109" s="113">
        <f>ROUND(I109*Valores!$C$2,2)</f>
        <v>0</v>
      </c>
      <c r="K109" s="169">
        <v>0</v>
      </c>
      <c r="L109" s="113">
        <f>ROUND(K109*Valores!$C$2,2)</f>
        <v>0</v>
      </c>
      <c r="M109" s="113">
        <f>ROUND(IF($H$2=0,IF(AND(A109&lt;&gt;"13-930",A109&lt;&gt;"13-940"),(SUM(F109,H109,J109,L109,W109,S109,Q109)*Valores!$C$4),0),0),2)</f>
        <v>48166.47</v>
      </c>
      <c r="N109" s="113">
        <f t="shared" si="16"/>
        <v>0</v>
      </c>
      <c r="O109" s="113">
        <f>Valores!C$69</f>
        <v>169940.3</v>
      </c>
      <c r="P109" s="113">
        <f>Valores!$D$5</f>
        <v>49998.43</v>
      </c>
      <c r="Q109" s="113">
        <f>IF($F$4="NO",Valores!$C$21,Valores!$C$21/2)</f>
        <v>30817.87</v>
      </c>
      <c r="R109" s="113">
        <f>Valores!$C$9</f>
        <v>46045.69</v>
      </c>
      <c r="S109" s="113">
        <f t="shared" si="21"/>
        <v>46045.69</v>
      </c>
      <c r="T109" s="113">
        <v>0</v>
      </c>
      <c r="U109" s="113">
        <v>0</v>
      </c>
      <c r="V109" s="169">
        <v>0</v>
      </c>
      <c r="W109" s="113">
        <f>ROUND(V109*Valores!$C$2,2)</f>
        <v>0</v>
      </c>
      <c r="X109" s="113">
        <v>0</v>
      </c>
      <c r="Y109" s="188">
        <v>0</v>
      </c>
      <c r="Z109" s="113">
        <f t="shared" si="17"/>
        <v>0</v>
      </c>
      <c r="AA109" s="169">
        <v>0</v>
      </c>
      <c r="AB109" s="113">
        <f>ROUND(AA109*Valores!$C$2,2)</f>
        <v>0</v>
      </c>
      <c r="AC109" s="113">
        <f>ROUND(IF($F$4="NO",Valores!$C$32,Valores!$C$32/2),2)</f>
        <v>23377.77</v>
      </c>
      <c r="AD109" s="113">
        <f>SUM(F109,H109,J109,L109,M109,N109,O109,P109,Q109,S109,T109,U109,W109,X109,Z109,AB109,AC109)*Valores!$C$58</f>
        <v>48414.883000000002</v>
      </c>
      <c r="AE109" s="113">
        <f t="shared" si="18"/>
        <v>532563.71299999999</v>
      </c>
      <c r="AF109" s="113">
        <f>Valores!$C$11</f>
        <v>36428</v>
      </c>
      <c r="AG109" s="113">
        <f>Valores!$C$59</f>
        <v>25000</v>
      </c>
      <c r="AH109" s="113">
        <f t="shared" si="14"/>
        <v>61428</v>
      </c>
      <c r="AI109" s="113">
        <f>AE109*Valores!$C$39</f>
        <v>-58582.008430000002</v>
      </c>
      <c r="AJ109" s="113">
        <f>IF(AE109&lt;Valores!$E$40,-0.02,IF(AE109&lt;Valores!$F$40,-0.03,-0.04))*AE109</f>
        <v>-10651.27426</v>
      </c>
      <c r="AK109" s="113">
        <f>AE109*Valores!$C$42</f>
        <v>-29291.004215000001</v>
      </c>
      <c r="AL109" s="113">
        <f>Valores!$C$56</f>
        <v>-1270.1600000000001</v>
      </c>
      <c r="AM109" s="113">
        <f>IF($F$5=0,Valores!$C$57,(Valores!$C$57+$F$5*(Valores!$C$57)))</f>
        <v>-7026</v>
      </c>
      <c r="AN109" s="113">
        <f t="shared" si="19"/>
        <v>487171.26609499997</v>
      </c>
      <c r="AO109" s="113">
        <f t="shared" si="13"/>
        <v>-58582.008430000002</v>
      </c>
      <c r="AP109" s="113">
        <f t="shared" si="20"/>
        <v>-10651.27426</v>
      </c>
      <c r="AQ109" s="113">
        <f>AE109*Valores!$C$43</f>
        <v>-14379.220250999999</v>
      </c>
      <c r="AR109" s="113">
        <f>AE109*Valores!$C$44</f>
        <v>-1597.691139</v>
      </c>
      <c r="AS109" s="113">
        <f t="shared" si="15"/>
        <v>508781.51891999994</v>
      </c>
      <c r="AT109" s="113">
        <f>AE109*Valores!$C$46</f>
        <v>85210.194080000001</v>
      </c>
      <c r="AU109" s="113">
        <f>AE109*Valores!$C$47</f>
        <v>37279.459910000005</v>
      </c>
      <c r="AV109" s="113">
        <f>AE109*Valores!$C$48</f>
        <v>5325.6371300000001</v>
      </c>
      <c r="AW109" s="113">
        <f>AE109*Valores!$C$50</f>
        <v>18639.729955000003</v>
      </c>
      <c r="AX109" s="113">
        <f>AE109*Valores!$C$52</f>
        <v>28758.440501999998</v>
      </c>
      <c r="AY109" s="113">
        <f>AE109*Valores!$C$51</f>
        <v>3195.382278</v>
      </c>
      <c r="AZ109" s="114"/>
      <c r="BA109" s="114">
        <v>30</v>
      </c>
      <c r="BB109" s="111" t="s">
        <v>4</v>
      </c>
    </row>
    <row r="110" spans="1:54" s="100" customFormat="1" ht="11.25" customHeight="1" x14ac:dyDescent="0.15">
      <c r="A110" s="111" t="s">
        <v>272</v>
      </c>
      <c r="B110" s="111">
        <v>1</v>
      </c>
      <c r="C110" s="114">
        <v>103</v>
      </c>
      <c r="D110" s="112" t="s">
        <v>273</v>
      </c>
      <c r="E110" s="169">
        <v>46</v>
      </c>
      <c r="F110" s="113">
        <f>ROUND(E110*Valores!$C$2,2)</f>
        <v>4499.08</v>
      </c>
      <c r="G110" s="169">
        <v>1102</v>
      </c>
      <c r="H110" s="113">
        <f>ROUND(G110*Valores!$C$2,2)</f>
        <v>107782.21</v>
      </c>
      <c r="I110" s="169">
        <v>0</v>
      </c>
      <c r="J110" s="113">
        <f>ROUND(I110*Valores!$C$2,2)</f>
        <v>0</v>
      </c>
      <c r="K110" s="169">
        <v>0</v>
      </c>
      <c r="L110" s="113">
        <f>ROUND(K110*Valores!$C$2,2)</f>
        <v>0</v>
      </c>
      <c r="M110" s="113">
        <f>ROUND(IF($H$2=0,IF(AND(A110&lt;&gt;"13-930",A110&lt;&gt;"13-940"),(SUM(F110,H110,J110,L110,W110,S110,Q110)*Valores!$C$4),0),0),2)</f>
        <v>47286.21</v>
      </c>
      <c r="N110" s="113">
        <f t="shared" si="16"/>
        <v>0</v>
      </c>
      <c r="O110" s="113">
        <f>Valores!C$69</f>
        <v>169940.3</v>
      </c>
      <c r="P110" s="113">
        <f>Valores!$D$5</f>
        <v>49998.43</v>
      </c>
      <c r="Q110" s="113">
        <f>IF($F$4="NO",Valores!$C$21,Valores!$C$21/2)</f>
        <v>30817.87</v>
      </c>
      <c r="R110" s="113">
        <f>Valores!$C$9</f>
        <v>46045.69</v>
      </c>
      <c r="S110" s="113">
        <f t="shared" si="21"/>
        <v>46045.69</v>
      </c>
      <c r="T110" s="113">
        <v>0</v>
      </c>
      <c r="U110" s="113">
        <v>0</v>
      </c>
      <c r="V110" s="169">
        <v>0</v>
      </c>
      <c r="W110" s="113">
        <f>ROUND(V110*Valores!$C$2,2)</f>
        <v>0</v>
      </c>
      <c r="X110" s="113">
        <v>0</v>
      </c>
      <c r="Y110" s="188">
        <v>0</v>
      </c>
      <c r="Z110" s="113">
        <f t="shared" si="17"/>
        <v>0</v>
      </c>
      <c r="AA110" s="169">
        <v>0</v>
      </c>
      <c r="AB110" s="113">
        <f>ROUND(AA110*Valores!$C$2,2)</f>
        <v>0</v>
      </c>
      <c r="AC110" s="113">
        <f>ROUND(IF($F$4="NO",Valores!$C$32,Valores!$C$32/2),2)</f>
        <v>23377.77</v>
      </c>
      <c r="AD110" s="113">
        <f>SUM(F110,H110,J110,L110,M110,N110,O110,P110,Q110,S110,T110,U110,W110,X110,Z110,AB110,AC110)*Valores!$C$58</f>
        <v>47974.756000000001</v>
      </c>
      <c r="AE110" s="113">
        <f t="shared" si="18"/>
        <v>527722.31599999999</v>
      </c>
      <c r="AF110" s="113">
        <f>Valores!$C$11</f>
        <v>36428</v>
      </c>
      <c r="AG110" s="113">
        <f>Valores!$C$59</f>
        <v>25000</v>
      </c>
      <c r="AH110" s="113">
        <f t="shared" si="14"/>
        <v>61428</v>
      </c>
      <c r="AI110" s="113">
        <f>AE110*Valores!$C$39</f>
        <v>-58049.454760000001</v>
      </c>
      <c r="AJ110" s="113">
        <f>IF(AE110&lt;Valores!$E$40,-0.02,IF(AE110&lt;Valores!$F$40,-0.03,-0.04))*AE110</f>
        <v>-10554.446320000001</v>
      </c>
      <c r="AK110" s="113">
        <f>AE110*Valores!$C$42</f>
        <v>-29024.72738</v>
      </c>
      <c r="AL110" s="113">
        <f>Valores!$C$56</f>
        <v>-1270.1600000000001</v>
      </c>
      <c r="AM110" s="113">
        <f>IF($F$5=0,Valores!$C$57,(Valores!$C$57+$F$5*(Valores!$C$57)))</f>
        <v>-7026</v>
      </c>
      <c r="AN110" s="113">
        <f t="shared" si="19"/>
        <v>483225.52753999998</v>
      </c>
      <c r="AO110" s="113">
        <f t="shared" si="13"/>
        <v>-58049.454760000001</v>
      </c>
      <c r="AP110" s="113">
        <f t="shared" si="20"/>
        <v>-10554.446320000001</v>
      </c>
      <c r="AQ110" s="113">
        <f>AE110*Valores!$C$43</f>
        <v>-14248.502532</v>
      </c>
      <c r="AR110" s="113">
        <f>AE110*Valores!$C$44</f>
        <v>-1583.166948</v>
      </c>
      <c r="AS110" s="113">
        <f t="shared" si="15"/>
        <v>504714.74543999997</v>
      </c>
      <c r="AT110" s="113">
        <f>AE110*Valores!$C$46</f>
        <v>84435.570560000007</v>
      </c>
      <c r="AU110" s="113">
        <f>AE110*Valores!$C$47</f>
        <v>36940.562120000002</v>
      </c>
      <c r="AV110" s="113">
        <f>AE110*Valores!$C$48</f>
        <v>5277.2231600000005</v>
      </c>
      <c r="AW110" s="113">
        <f>AE110*Valores!$C$50</f>
        <v>18470.281060000001</v>
      </c>
      <c r="AX110" s="113">
        <f>AE110*Valores!$C$52</f>
        <v>28497.005064000001</v>
      </c>
      <c r="AY110" s="113">
        <f>AE110*Valores!$C$51</f>
        <v>3166.3338960000001</v>
      </c>
      <c r="AZ110" s="114"/>
      <c r="BA110" s="114">
        <v>30</v>
      </c>
      <c r="BB110" s="111" t="s">
        <v>4</v>
      </c>
    </row>
    <row r="111" spans="1:54" s="100" customFormat="1" ht="11.25" customHeight="1" x14ac:dyDescent="0.15">
      <c r="A111" s="111" t="s">
        <v>274</v>
      </c>
      <c r="B111" s="111">
        <v>1</v>
      </c>
      <c r="C111" s="114">
        <v>104</v>
      </c>
      <c r="D111" s="112" t="s">
        <v>275</v>
      </c>
      <c r="E111" s="169">
        <v>66</v>
      </c>
      <c r="F111" s="113">
        <f>ROUND(E111*Valores!$C$2,2)</f>
        <v>6455.2</v>
      </c>
      <c r="G111" s="169">
        <v>1911</v>
      </c>
      <c r="H111" s="113">
        <f>ROUND(G111*Valores!$C$2,2)</f>
        <v>186907.27</v>
      </c>
      <c r="I111" s="169">
        <v>0</v>
      </c>
      <c r="J111" s="113">
        <f>ROUND(I111*Valores!$C$2,2)</f>
        <v>0</v>
      </c>
      <c r="K111" s="169">
        <v>0</v>
      </c>
      <c r="L111" s="113">
        <f>ROUND(K111*Valores!$C$2,2)</f>
        <v>0</v>
      </c>
      <c r="M111" s="113">
        <f>ROUND(IF($H$2=0,IF(AND(A111&lt;&gt;"13-930",A111&lt;&gt;"13-940"),(SUM(F111,H111,J111,L111,W111,S111,Q111)*Valores!$C$4),0),0),2)</f>
        <v>67556.509999999995</v>
      </c>
      <c r="N111" s="113">
        <f t="shared" si="16"/>
        <v>0</v>
      </c>
      <c r="O111" s="113">
        <f>Valores!C$77</f>
        <v>214543.99</v>
      </c>
      <c r="P111" s="113">
        <f>Valores!$D$5</f>
        <v>49998.43</v>
      </c>
      <c r="Q111" s="113">
        <f>IF($F$4="NO",Valores!$C$21,Valores!$C$21/2)</f>
        <v>30817.87</v>
      </c>
      <c r="R111" s="113">
        <f>Valores!$C$9</f>
        <v>46045.69</v>
      </c>
      <c r="S111" s="113">
        <f t="shared" si="21"/>
        <v>46045.69</v>
      </c>
      <c r="T111" s="113">
        <v>0</v>
      </c>
      <c r="U111" s="113">
        <v>0</v>
      </c>
      <c r="V111" s="169">
        <v>0</v>
      </c>
      <c r="W111" s="113">
        <f>ROUND(V111*Valores!$C$2,2)</f>
        <v>0</v>
      </c>
      <c r="X111" s="113">
        <v>0</v>
      </c>
      <c r="Y111" s="188">
        <v>0</v>
      </c>
      <c r="Z111" s="113">
        <f t="shared" si="17"/>
        <v>0</v>
      </c>
      <c r="AA111" s="169">
        <v>94</v>
      </c>
      <c r="AB111" s="113">
        <f>ROUND(AA111*Valores!$C$2,2)</f>
        <v>9193.76</v>
      </c>
      <c r="AC111" s="113">
        <f>ROUND(IF($F$4="NO",Valores!$C$32,Valores!$C$32/2),2)</f>
        <v>23377.77</v>
      </c>
      <c r="AD111" s="113">
        <f>SUM(F111,H111,J111,L111,M111,N111,O111,P111,Q111,S111,T111,U111,W111,X111,Z111,AB111,AC111)*Valores!$C$58</f>
        <v>63489.649000000005</v>
      </c>
      <c r="AE111" s="113">
        <f t="shared" si="18"/>
        <v>698386.13899999997</v>
      </c>
      <c r="AF111" s="113">
        <f>Valores!$C$11</f>
        <v>36428</v>
      </c>
      <c r="AG111" s="113">
        <f>Valores!$C$59</f>
        <v>25000</v>
      </c>
      <c r="AH111" s="113">
        <f t="shared" si="14"/>
        <v>61428</v>
      </c>
      <c r="AI111" s="113">
        <f>AE111*Valores!$C$39</f>
        <v>-76822.475290000002</v>
      </c>
      <c r="AJ111" s="113">
        <f>IF(AE111&lt;Valores!$E$40,-0.02,IF(AE111&lt;Valores!$F$40,-0.03,-0.04))*AE111</f>
        <v>-13967.72278</v>
      </c>
      <c r="AK111" s="113">
        <f>AE111*Valores!$C$42</f>
        <v>-38411.237645000001</v>
      </c>
      <c r="AL111" s="113">
        <f>Valores!$C$56</f>
        <v>-1270.1600000000001</v>
      </c>
      <c r="AM111" s="113">
        <f>IF($F$5=0,Valores!$C$57,(Valores!$C$57+$F$5*(Valores!$C$57)))</f>
        <v>-7026</v>
      </c>
      <c r="AN111" s="113">
        <f t="shared" si="19"/>
        <v>622316.54328499991</v>
      </c>
      <c r="AO111" s="113">
        <f t="shared" si="13"/>
        <v>-76822.475290000002</v>
      </c>
      <c r="AP111" s="113">
        <f t="shared" si="20"/>
        <v>-13967.72278</v>
      </c>
      <c r="AQ111" s="113">
        <f>AE111*Valores!$C$43</f>
        <v>-18856.425753</v>
      </c>
      <c r="AR111" s="113">
        <f>AE111*Valores!$C$44</f>
        <v>-2095.1584170000001</v>
      </c>
      <c r="AS111" s="113">
        <f t="shared" si="15"/>
        <v>648072.35676</v>
      </c>
      <c r="AT111" s="113">
        <f>AE111*Valores!$C$46</f>
        <v>111741.78224</v>
      </c>
      <c r="AU111" s="113">
        <f>AE111*Valores!$C$47</f>
        <v>48887.029730000002</v>
      </c>
      <c r="AV111" s="113">
        <f>AE111*Valores!$C$48</f>
        <v>6983.86139</v>
      </c>
      <c r="AW111" s="113">
        <f>AE111*Valores!$C$50</f>
        <v>24443.514865000001</v>
      </c>
      <c r="AX111" s="113">
        <f>AE111*Valores!$C$52</f>
        <v>37712.851505999999</v>
      </c>
      <c r="AY111" s="113">
        <f>AE111*Valores!$C$51</f>
        <v>4190.3168340000002</v>
      </c>
      <c r="AZ111" s="114"/>
      <c r="BA111" s="114">
        <v>25</v>
      </c>
      <c r="BB111" s="111" t="s">
        <v>4</v>
      </c>
    </row>
    <row r="112" spans="1:54" s="100" customFormat="1" ht="11.25" customHeight="1" x14ac:dyDescent="0.15">
      <c r="A112" s="111" t="s">
        <v>276</v>
      </c>
      <c r="B112" s="111">
        <v>1</v>
      </c>
      <c r="C112" s="114">
        <v>105</v>
      </c>
      <c r="D112" s="112" t="s">
        <v>277</v>
      </c>
      <c r="E112" s="169">
        <v>61</v>
      </c>
      <c r="F112" s="113">
        <f>ROUND(E112*Valores!$C$2,2)</f>
        <v>5966.17</v>
      </c>
      <c r="G112" s="169">
        <v>1545</v>
      </c>
      <c r="H112" s="113">
        <f>ROUND(G112*Valores!$C$2,2)</f>
        <v>151110.26999999999</v>
      </c>
      <c r="I112" s="169">
        <v>0</v>
      </c>
      <c r="J112" s="113">
        <f>ROUND(I112*Valores!$C$2,2)</f>
        <v>0</v>
      </c>
      <c r="K112" s="169">
        <v>0</v>
      </c>
      <c r="L112" s="113">
        <f>ROUND(K112*Valores!$C$2,2)</f>
        <v>0</v>
      </c>
      <c r="M112" s="113">
        <f>ROUND(IF($H$2=0,IF(AND(A112&lt;&gt;"13-930",A112&lt;&gt;"13-940"),(SUM(F112,H112,J112,L112,W112,S112,Q112)*Valores!$C$4),0),0),2)</f>
        <v>58485</v>
      </c>
      <c r="N112" s="113">
        <f t="shared" si="16"/>
        <v>0</v>
      </c>
      <c r="O112" s="113">
        <f>Valores!C$77</f>
        <v>214543.99</v>
      </c>
      <c r="P112" s="113">
        <f>Valores!$D$5</f>
        <v>49998.43</v>
      </c>
      <c r="Q112" s="113">
        <f>IF($F$4="NO",Valores!$C$21,Valores!$C$21/2)</f>
        <v>30817.87</v>
      </c>
      <c r="R112" s="113">
        <f>Valores!$C$9</f>
        <v>46045.69</v>
      </c>
      <c r="S112" s="113">
        <f t="shared" si="21"/>
        <v>46045.69</v>
      </c>
      <c r="T112" s="113">
        <v>0</v>
      </c>
      <c r="U112" s="113">
        <v>0</v>
      </c>
      <c r="V112" s="169">
        <v>0</v>
      </c>
      <c r="W112" s="113">
        <f>ROUND(V112*Valores!$C$2,2)</f>
        <v>0</v>
      </c>
      <c r="X112" s="113">
        <v>0</v>
      </c>
      <c r="Y112" s="188">
        <v>0</v>
      </c>
      <c r="Z112" s="113">
        <f t="shared" si="17"/>
        <v>0</v>
      </c>
      <c r="AA112" s="169">
        <v>94</v>
      </c>
      <c r="AB112" s="113">
        <f>ROUND(AA112*Valores!$C$2,2)</f>
        <v>9193.76</v>
      </c>
      <c r="AC112" s="113">
        <f>ROUND(IF($F$4="NO",Valores!$C$32,Valores!$C$32/2),2)</f>
        <v>23377.77</v>
      </c>
      <c r="AD112" s="113">
        <f>SUM(F112,H112,J112,L112,M112,N112,O112,P112,Q112,S112,T112,U112,W112,X112,Z112,AB112,AC112)*Valores!$C$58</f>
        <v>58953.894999999997</v>
      </c>
      <c r="AE112" s="113">
        <f t="shared" si="18"/>
        <v>648492.84499999997</v>
      </c>
      <c r="AF112" s="113">
        <f>Valores!$C$11</f>
        <v>36428</v>
      </c>
      <c r="AG112" s="113">
        <f>Valores!$C$59</f>
        <v>25000</v>
      </c>
      <c r="AH112" s="113">
        <f t="shared" si="14"/>
        <v>61428</v>
      </c>
      <c r="AI112" s="113">
        <f>AE112*Valores!$C$39</f>
        <v>-71334.212950000001</v>
      </c>
      <c r="AJ112" s="113">
        <f>IF(AE112&lt;Valores!$E$40,-0.02,IF(AE112&lt;Valores!$F$40,-0.03,-0.04))*AE112</f>
        <v>-12969.856899999999</v>
      </c>
      <c r="AK112" s="113">
        <f>AE112*Valores!$C$42</f>
        <v>-35667.106475000001</v>
      </c>
      <c r="AL112" s="113">
        <f>Valores!$C$56</f>
        <v>-1270.1600000000001</v>
      </c>
      <c r="AM112" s="113">
        <f>IF($F$5=0,Valores!$C$57,(Valores!$C$57+$F$5*(Valores!$C$57)))</f>
        <v>-7026</v>
      </c>
      <c r="AN112" s="113">
        <f t="shared" si="19"/>
        <v>581653.50867499993</v>
      </c>
      <c r="AO112" s="113">
        <f t="shared" si="13"/>
        <v>-71334.212950000001</v>
      </c>
      <c r="AP112" s="113">
        <f t="shared" si="20"/>
        <v>-12969.856899999999</v>
      </c>
      <c r="AQ112" s="113">
        <f>AE112*Valores!$C$43</f>
        <v>-17509.306815</v>
      </c>
      <c r="AR112" s="113">
        <f>AE112*Valores!$C$44</f>
        <v>-1945.478535</v>
      </c>
      <c r="AS112" s="113">
        <f t="shared" si="15"/>
        <v>606161.98979999998</v>
      </c>
      <c r="AT112" s="113">
        <f>AE112*Valores!$C$46</f>
        <v>103758.85519999999</v>
      </c>
      <c r="AU112" s="113">
        <f>AE112*Valores!$C$47</f>
        <v>45394.499150000003</v>
      </c>
      <c r="AV112" s="113">
        <f>AE112*Valores!$C$48</f>
        <v>6484.9284499999994</v>
      </c>
      <c r="AW112" s="113">
        <f>AE112*Valores!$C$50</f>
        <v>22697.249575000002</v>
      </c>
      <c r="AX112" s="113">
        <f>AE112*Valores!$C$52</f>
        <v>35018.61363</v>
      </c>
      <c r="AY112" s="113">
        <f>AE112*Valores!$C$51</f>
        <v>3890.9570699999999</v>
      </c>
      <c r="AZ112" s="114"/>
      <c r="BA112" s="114">
        <v>25</v>
      </c>
      <c r="BB112" s="111" t="s">
        <v>8</v>
      </c>
    </row>
    <row r="113" spans="1:54" s="100" customFormat="1" ht="11.25" customHeight="1" x14ac:dyDescent="0.15">
      <c r="A113" s="111" t="s">
        <v>278</v>
      </c>
      <c r="B113" s="111">
        <v>1</v>
      </c>
      <c r="C113" s="114">
        <v>106</v>
      </c>
      <c r="D113" s="112" t="s">
        <v>279</v>
      </c>
      <c r="E113" s="169">
        <v>218</v>
      </c>
      <c r="F113" s="113">
        <f>ROUND(E113*Valores!$C$2,2)</f>
        <v>21321.71</v>
      </c>
      <c r="G113" s="169">
        <v>2100</v>
      </c>
      <c r="H113" s="113">
        <f>ROUND(G113*Valores!$C$2,2)</f>
        <v>205392.6</v>
      </c>
      <c r="I113" s="169">
        <v>0</v>
      </c>
      <c r="J113" s="113">
        <f>ROUND(I113*Valores!$C$2,2)</f>
        <v>0</v>
      </c>
      <c r="K113" s="169">
        <v>0</v>
      </c>
      <c r="L113" s="113">
        <f>ROUND(K113*Valores!$C$2,2)</f>
        <v>0</v>
      </c>
      <c r="M113" s="113">
        <f>ROUND(IF($H$2=0,IF(AND(A113&lt;&gt;"13-930",A113&lt;&gt;"13-940"),(SUM(F113,H113,J113,L113,W113,S113,Q113)*Valores!$C$4),0),0),2)</f>
        <v>75894.47</v>
      </c>
      <c r="N113" s="113">
        <f t="shared" si="16"/>
        <v>0</v>
      </c>
      <c r="O113" s="113">
        <f>Valores!C$77</f>
        <v>214543.99</v>
      </c>
      <c r="P113" s="113">
        <f>Valores!$D$5</f>
        <v>49998.43</v>
      </c>
      <c r="Q113" s="113">
        <f>IF($F$4="NO",Valores!$C$21,Valores!$C$21/2)</f>
        <v>30817.87</v>
      </c>
      <c r="R113" s="113">
        <f>Valores!$C$9</f>
        <v>46045.69</v>
      </c>
      <c r="S113" s="113">
        <f t="shared" si="21"/>
        <v>46045.69</v>
      </c>
      <c r="T113" s="113">
        <v>0</v>
      </c>
      <c r="U113" s="113">
        <v>0</v>
      </c>
      <c r="V113" s="169">
        <v>0</v>
      </c>
      <c r="W113" s="113">
        <f>ROUND(V113*Valores!$C$2,2)</f>
        <v>0</v>
      </c>
      <c r="X113" s="113">
        <v>0</v>
      </c>
      <c r="Y113" s="188">
        <v>0</v>
      </c>
      <c r="Z113" s="113">
        <f t="shared" si="17"/>
        <v>0</v>
      </c>
      <c r="AA113" s="169">
        <v>0</v>
      </c>
      <c r="AB113" s="113">
        <f>ROUND(AA113*Valores!$C$2,2)</f>
        <v>0</v>
      </c>
      <c r="AC113" s="113">
        <f>ROUND(IF($F$4="NO",Valores!$C$32,Valores!$C$32/2),2)</f>
        <v>23377.77</v>
      </c>
      <c r="AD113" s="113">
        <f>SUM(F113,H113,J113,L113,M113,N113,O113,P113,Q113,S113,T113,U113,W113,X113,Z113,AB113,AC113)*Valores!$C$58</f>
        <v>66739.253000000012</v>
      </c>
      <c r="AE113" s="113">
        <f t="shared" si="18"/>
        <v>734131.78300000005</v>
      </c>
      <c r="AF113" s="113">
        <f>Valores!$C$11</f>
        <v>36428</v>
      </c>
      <c r="AG113" s="113">
        <f>Valores!$C$59</f>
        <v>25000</v>
      </c>
      <c r="AH113" s="113">
        <f t="shared" si="14"/>
        <v>61428</v>
      </c>
      <c r="AI113" s="113">
        <f>AE113*Valores!$C$39</f>
        <v>-80754.49613</v>
      </c>
      <c r="AJ113" s="113">
        <f>IF(AE113&lt;Valores!$E$40,-0.02,IF(AE113&lt;Valores!$F$40,-0.03,-0.04))*AE113</f>
        <v>-14682.635660000002</v>
      </c>
      <c r="AK113" s="113">
        <f>AE113*Valores!$C$42</f>
        <v>-40377.248065</v>
      </c>
      <c r="AL113" s="113">
        <f>Valores!$C$56</f>
        <v>-1270.1600000000001</v>
      </c>
      <c r="AM113" s="113">
        <f>IF($F$5=0,Valores!$C$57,(Valores!$C$57+$F$5*(Valores!$C$57)))</f>
        <v>-7026</v>
      </c>
      <c r="AN113" s="113">
        <f t="shared" si="19"/>
        <v>651449.24314500007</v>
      </c>
      <c r="AO113" s="113">
        <f t="shared" si="13"/>
        <v>-80754.49613</v>
      </c>
      <c r="AP113" s="113">
        <f t="shared" si="20"/>
        <v>-14682.635660000002</v>
      </c>
      <c r="AQ113" s="113">
        <f>AE113*Valores!$C$43</f>
        <v>-19821.558141000001</v>
      </c>
      <c r="AR113" s="113">
        <f>AE113*Valores!$C$44</f>
        <v>-2202.3953490000004</v>
      </c>
      <c r="AS113" s="113">
        <f t="shared" si="15"/>
        <v>678098.69772000005</v>
      </c>
      <c r="AT113" s="113">
        <f>AE113*Valores!$C$46</f>
        <v>117461.08528000001</v>
      </c>
      <c r="AU113" s="113">
        <f>AE113*Valores!$C$47</f>
        <v>51389.224810000007</v>
      </c>
      <c r="AV113" s="113">
        <f>AE113*Valores!$C$48</f>
        <v>7341.3178300000009</v>
      </c>
      <c r="AW113" s="113">
        <f>AE113*Valores!$C$50</f>
        <v>25694.612405000003</v>
      </c>
      <c r="AX113" s="113">
        <f>AE113*Valores!$C$52</f>
        <v>39643.116282000003</v>
      </c>
      <c r="AY113" s="113">
        <f>AE113*Valores!$C$51</f>
        <v>4404.7906980000007</v>
      </c>
      <c r="AZ113" s="114"/>
      <c r="BA113" s="114">
        <v>30</v>
      </c>
      <c r="BB113" s="111" t="s">
        <v>4</v>
      </c>
    </row>
    <row r="114" spans="1:54" s="100" customFormat="1" ht="11.25" customHeight="1" x14ac:dyDescent="0.15">
      <c r="A114" s="111" t="s">
        <v>280</v>
      </c>
      <c r="B114" s="111">
        <v>1</v>
      </c>
      <c r="C114" s="114">
        <v>107</v>
      </c>
      <c r="D114" s="112" t="s">
        <v>281</v>
      </c>
      <c r="E114" s="169">
        <v>220</v>
      </c>
      <c r="F114" s="113">
        <f>ROUND(E114*Valores!$C$2,2)</f>
        <v>21517.32</v>
      </c>
      <c r="G114" s="169">
        <v>1995</v>
      </c>
      <c r="H114" s="113">
        <f>ROUND(G114*Valores!$C$2,2)</f>
        <v>195122.97</v>
      </c>
      <c r="I114" s="169">
        <v>0</v>
      </c>
      <c r="J114" s="113">
        <f>ROUND(I114*Valores!$C$2,2)</f>
        <v>0</v>
      </c>
      <c r="K114" s="169">
        <v>0</v>
      </c>
      <c r="L114" s="113">
        <f>ROUND(K114*Valores!$C$2,2)</f>
        <v>0</v>
      </c>
      <c r="M114" s="113">
        <f>ROUND(IF($H$2=0,IF(AND(A114&lt;&gt;"13-930",A114&lt;&gt;"13-940"),(SUM(F114,H114,J114,L114,W114,S114,Q114)*Valores!$C$4),0),0),2)</f>
        <v>73375.960000000006</v>
      </c>
      <c r="N114" s="113">
        <f t="shared" si="16"/>
        <v>0</v>
      </c>
      <c r="O114" s="113">
        <f>Valores!C$77</f>
        <v>214543.99</v>
      </c>
      <c r="P114" s="113">
        <f>Valores!$D$5</f>
        <v>49998.43</v>
      </c>
      <c r="Q114" s="113">
        <f>IF($F$4="NO",Valores!$C$21,Valores!$C$21/2)</f>
        <v>30817.87</v>
      </c>
      <c r="R114" s="113">
        <f>Valores!$C$9</f>
        <v>46045.69</v>
      </c>
      <c r="S114" s="113">
        <f t="shared" si="21"/>
        <v>46045.69</v>
      </c>
      <c r="T114" s="113">
        <v>0</v>
      </c>
      <c r="U114" s="113">
        <v>0</v>
      </c>
      <c r="V114" s="169">
        <v>0</v>
      </c>
      <c r="W114" s="113">
        <f>ROUND(V114*Valores!$C$2,2)</f>
        <v>0</v>
      </c>
      <c r="X114" s="113">
        <v>0</v>
      </c>
      <c r="Y114" s="188">
        <v>0</v>
      </c>
      <c r="Z114" s="113">
        <f t="shared" si="17"/>
        <v>0</v>
      </c>
      <c r="AA114" s="169">
        <v>0</v>
      </c>
      <c r="AB114" s="113">
        <f>ROUND(AA114*Valores!$C$2,2)</f>
        <v>0</v>
      </c>
      <c r="AC114" s="113">
        <f>ROUND(IF($F$4="NO",Valores!$C$32,Valores!$C$32/2),2)</f>
        <v>23377.77</v>
      </c>
      <c r="AD114" s="113">
        <f>SUM(F114,H114,J114,L114,M114,N114,O114,P114,Q114,S114,T114,U114,W114,X114,Z114,AB114,AC114)*Valores!$C$58</f>
        <v>65480</v>
      </c>
      <c r="AE114" s="113">
        <f t="shared" si="18"/>
        <v>720280</v>
      </c>
      <c r="AF114" s="113">
        <f>Valores!$C$11</f>
        <v>36428</v>
      </c>
      <c r="AG114" s="113">
        <f>Valores!$C$59</f>
        <v>25000</v>
      </c>
      <c r="AH114" s="113">
        <f t="shared" si="14"/>
        <v>61428</v>
      </c>
      <c r="AI114" s="113">
        <f>AE114*Valores!$C$39</f>
        <v>-79230.8</v>
      </c>
      <c r="AJ114" s="113">
        <f>IF(AE114&lt;Valores!$E$40,-0.02,IF(AE114&lt;Valores!$F$40,-0.03,-0.04))*AE114</f>
        <v>-14405.6</v>
      </c>
      <c r="AK114" s="113">
        <f>AE114*Valores!$C$42</f>
        <v>-39615.4</v>
      </c>
      <c r="AL114" s="113">
        <f>Valores!$C$56</f>
        <v>-1270.1600000000001</v>
      </c>
      <c r="AM114" s="113">
        <f>IF($F$5=0,Valores!$C$57,(Valores!$C$57+$F$5*(Valores!$C$57)))</f>
        <v>-7026</v>
      </c>
      <c r="AN114" s="113">
        <f t="shared" si="19"/>
        <v>640160.04</v>
      </c>
      <c r="AO114" s="113">
        <f t="shared" si="13"/>
        <v>-79230.8</v>
      </c>
      <c r="AP114" s="113">
        <f t="shared" si="20"/>
        <v>-14405.6</v>
      </c>
      <c r="AQ114" s="113">
        <f>AE114*Valores!$C$43</f>
        <v>-19447.560000000001</v>
      </c>
      <c r="AR114" s="113">
        <f>AE114*Valores!$C$44</f>
        <v>-2160.84</v>
      </c>
      <c r="AS114" s="113">
        <f t="shared" si="15"/>
        <v>666463.19999999995</v>
      </c>
      <c r="AT114" s="113">
        <f>AE114*Valores!$C$46</f>
        <v>115244.8</v>
      </c>
      <c r="AU114" s="113">
        <f>AE114*Valores!$C$47</f>
        <v>50419.600000000006</v>
      </c>
      <c r="AV114" s="113">
        <f>AE114*Valores!$C$48</f>
        <v>7202.8</v>
      </c>
      <c r="AW114" s="113">
        <f>AE114*Valores!$C$50</f>
        <v>25209.800000000003</v>
      </c>
      <c r="AX114" s="113">
        <f>AE114*Valores!$C$52</f>
        <v>38895.120000000003</v>
      </c>
      <c r="AY114" s="113">
        <f>AE114*Valores!$C$51</f>
        <v>4321.68</v>
      </c>
      <c r="AZ114" s="114"/>
      <c r="BA114" s="114">
        <v>30</v>
      </c>
      <c r="BB114" s="111" t="s">
        <v>4</v>
      </c>
    </row>
    <row r="115" spans="1:54" s="100" customFormat="1" ht="11.25" customHeight="1" x14ac:dyDescent="0.15">
      <c r="A115" s="111" t="s">
        <v>282</v>
      </c>
      <c r="B115" s="111">
        <v>1</v>
      </c>
      <c r="C115" s="114">
        <v>108</v>
      </c>
      <c r="D115" s="112" t="s">
        <v>283</v>
      </c>
      <c r="E115" s="169">
        <v>187</v>
      </c>
      <c r="F115" s="113">
        <f>ROUND(E115*Valores!$C$2,2)</f>
        <v>18289.72</v>
      </c>
      <c r="G115" s="169">
        <v>1704</v>
      </c>
      <c r="H115" s="113">
        <f>ROUND(G115*Valores!$C$2,2)</f>
        <v>166661.42000000001</v>
      </c>
      <c r="I115" s="169">
        <v>0</v>
      </c>
      <c r="J115" s="113">
        <f>ROUND(I115*Valores!$C$2,2)</f>
        <v>0</v>
      </c>
      <c r="K115" s="169">
        <v>0</v>
      </c>
      <c r="L115" s="113">
        <f>ROUND(K115*Valores!$C$2,2)</f>
        <v>0</v>
      </c>
      <c r="M115" s="113">
        <f>ROUND(IF($H$2=0,IF(AND(A115&lt;&gt;"13-930",A115&lt;&gt;"13-940"),(SUM(F115,H115,J115,L115,W115,S115,Q115)*Valores!$C$4),0),0),2)</f>
        <v>65453.68</v>
      </c>
      <c r="N115" s="113">
        <f t="shared" si="16"/>
        <v>0</v>
      </c>
      <c r="O115" s="113">
        <f>Valores!C$77</f>
        <v>214543.99</v>
      </c>
      <c r="P115" s="113">
        <f>Valores!$D$5</f>
        <v>49998.43</v>
      </c>
      <c r="Q115" s="113">
        <f>IF($F$4="NO",Valores!$C$21,Valores!$C$21/2)</f>
        <v>30817.87</v>
      </c>
      <c r="R115" s="113">
        <f>Valores!$C$9</f>
        <v>46045.69</v>
      </c>
      <c r="S115" s="113">
        <f t="shared" si="21"/>
        <v>46045.69</v>
      </c>
      <c r="T115" s="113">
        <v>0</v>
      </c>
      <c r="U115" s="113">
        <v>0</v>
      </c>
      <c r="V115" s="169">
        <v>0</v>
      </c>
      <c r="W115" s="113">
        <f>ROUND(V115*Valores!$C$2,2)</f>
        <v>0</v>
      </c>
      <c r="X115" s="113">
        <v>0</v>
      </c>
      <c r="Y115" s="188">
        <v>0</v>
      </c>
      <c r="Z115" s="113">
        <f t="shared" si="17"/>
        <v>0</v>
      </c>
      <c r="AA115" s="169">
        <v>0</v>
      </c>
      <c r="AB115" s="113">
        <f>ROUND(AA115*Valores!$C$2,2)</f>
        <v>0</v>
      </c>
      <c r="AC115" s="113">
        <f>ROUND(IF($F$4="NO",Valores!$C$32,Valores!$C$32/2),2)</f>
        <v>23377.77</v>
      </c>
      <c r="AD115" s="113">
        <f>SUM(F115,H115,J115,L115,M115,N115,O115,P115,Q115,S115,T115,U115,W115,X115,Z115,AB115,AC115)*Valores!$C$58</f>
        <v>61518.857000000011</v>
      </c>
      <c r="AE115" s="113">
        <f t="shared" si="18"/>
        <v>676707.42700000003</v>
      </c>
      <c r="AF115" s="113">
        <f>Valores!$C$11</f>
        <v>36428</v>
      </c>
      <c r="AG115" s="113">
        <f>Valores!$C$59</f>
        <v>25000</v>
      </c>
      <c r="AH115" s="113">
        <f t="shared" si="14"/>
        <v>61428</v>
      </c>
      <c r="AI115" s="113">
        <f>AE115*Valores!$C$39</f>
        <v>-74437.81697</v>
      </c>
      <c r="AJ115" s="113">
        <f>IF(AE115&lt;Valores!$E$40,-0.02,IF(AE115&lt;Valores!$F$40,-0.03,-0.04))*AE115</f>
        <v>-13534.14854</v>
      </c>
      <c r="AK115" s="113">
        <f>AE115*Valores!$C$42</f>
        <v>-37218.908485</v>
      </c>
      <c r="AL115" s="113">
        <f>Valores!$C$56</f>
        <v>-1270.1600000000001</v>
      </c>
      <c r="AM115" s="113">
        <f>IF($F$5=0,Valores!$C$57,(Valores!$C$57+$F$5*(Valores!$C$57)))</f>
        <v>-7026</v>
      </c>
      <c r="AN115" s="113">
        <f t="shared" si="19"/>
        <v>604648.39300499996</v>
      </c>
      <c r="AO115" s="113">
        <f t="shared" si="13"/>
        <v>-74437.81697</v>
      </c>
      <c r="AP115" s="113">
        <f t="shared" si="20"/>
        <v>-13534.14854</v>
      </c>
      <c r="AQ115" s="113">
        <f>AE115*Valores!$C$43</f>
        <v>-18271.100528999999</v>
      </c>
      <c r="AR115" s="113">
        <f>AE115*Valores!$C$44</f>
        <v>-2030.1222810000002</v>
      </c>
      <c r="AS115" s="113">
        <f t="shared" si="15"/>
        <v>629862.23868000007</v>
      </c>
      <c r="AT115" s="113">
        <f>AE115*Valores!$C$46</f>
        <v>108273.18832</v>
      </c>
      <c r="AU115" s="113">
        <f>AE115*Valores!$C$47</f>
        <v>47369.519890000003</v>
      </c>
      <c r="AV115" s="113">
        <f>AE115*Valores!$C$48</f>
        <v>6767.0742700000001</v>
      </c>
      <c r="AW115" s="113">
        <f>AE115*Valores!$C$50</f>
        <v>23684.759945000002</v>
      </c>
      <c r="AX115" s="113">
        <f>AE115*Valores!$C$52</f>
        <v>36542.201057999999</v>
      </c>
      <c r="AY115" s="113">
        <f>AE115*Valores!$C$51</f>
        <v>4060.2445620000003</v>
      </c>
      <c r="AZ115" s="114"/>
      <c r="BA115" s="114">
        <v>30</v>
      </c>
      <c r="BB115" s="111" t="s">
        <v>4</v>
      </c>
    </row>
    <row r="116" spans="1:54" s="100" customFormat="1" ht="11.25" customHeight="1" x14ac:dyDescent="0.15">
      <c r="A116" s="111" t="s">
        <v>284</v>
      </c>
      <c r="B116" s="111">
        <v>1</v>
      </c>
      <c r="C116" s="114">
        <v>109</v>
      </c>
      <c r="D116" s="112" t="s">
        <v>285</v>
      </c>
      <c r="E116" s="169">
        <v>161</v>
      </c>
      <c r="F116" s="113">
        <f>ROUND(E116*Valores!$C$2,2)</f>
        <v>15746.77</v>
      </c>
      <c r="G116" s="169">
        <v>1480</v>
      </c>
      <c r="H116" s="113">
        <f>ROUND(G116*Valores!$C$2,2)</f>
        <v>144752.88</v>
      </c>
      <c r="I116" s="169">
        <v>0</v>
      </c>
      <c r="J116" s="113">
        <f>ROUND(I116*Valores!$C$2,2)</f>
        <v>0</v>
      </c>
      <c r="K116" s="169">
        <v>0</v>
      </c>
      <c r="L116" s="113">
        <f>ROUND(K116*Valores!$C$2,2)</f>
        <v>0</v>
      </c>
      <c r="M116" s="113">
        <f>ROUND(IF($H$2=0,IF(AND(A116&lt;&gt;"13-930",A116&lt;&gt;"13-940"),(SUM(F116,H116,J116,L116,W116,S116,Q116)*Valores!$C$4),0),0),2)</f>
        <v>59340.800000000003</v>
      </c>
      <c r="N116" s="113">
        <f t="shared" si="16"/>
        <v>0</v>
      </c>
      <c r="O116" s="113">
        <f>Valores!C$77</f>
        <v>214543.99</v>
      </c>
      <c r="P116" s="113">
        <f>Valores!$D$5</f>
        <v>49998.43</v>
      </c>
      <c r="Q116" s="113">
        <f>IF($F$4="NO",Valores!$C$21,Valores!$C$21/2)</f>
        <v>30817.87</v>
      </c>
      <c r="R116" s="113">
        <f>Valores!$C$9</f>
        <v>46045.69</v>
      </c>
      <c r="S116" s="113">
        <f t="shared" si="21"/>
        <v>46045.69</v>
      </c>
      <c r="T116" s="113">
        <v>0</v>
      </c>
      <c r="U116" s="113">
        <v>0</v>
      </c>
      <c r="V116" s="169">
        <v>0</v>
      </c>
      <c r="W116" s="113">
        <f>ROUND(V116*Valores!$C$2,2)</f>
        <v>0</v>
      </c>
      <c r="X116" s="113">
        <v>0</v>
      </c>
      <c r="Y116" s="188">
        <v>0</v>
      </c>
      <c r="Z116" s="113">
        <f t="shared" si="17"/>
        <v>0</v>
      </c>
      <c r="AA116" s="169">
        <v>0</v>
      </c>
      <c r="AB116" s="113">
        <f>ROUND(AA116*Valores!$C$2,2)</f>
        <v>0</v>
      </c>
      <c r="AC116" s="113">
        <f>ROUND(IF($F$4="NO",Valores!$C$32,Valores!$C$32/2),2)</f>
        <v>23377.77</v>
      </c>
      <c r="AD116" s="113">
        <f>SUM(F116,H116,J116,L116,M116,N116,O116,P116,Q116,S116,T116,U116,W116,X116,Z116,AB116,AC116)*Valores!$C$58</f>
        <v>58462.42</v>
      </c>
      <c r="AE116" s="113">
        <f t="shared" si="18"/>
        <v>643086.62</v>
      </c>
      <c r="AF116" s="113">
        <f>Valores!$C$11</f>
        <v>36428</v>
      </c>
      <c r="AG116" s="113">
        <f>Valores!$C$59</f>
        <v>25000</v>
      </c>
      <c r="AH116" s="113">
        <f t="shared" si="14"/>
        <v>61428</v>
      </c>
      <c r="AI116" s="113">
        <f>AE116*Valores!$C$39</f>
        <v>-70739.528200000001</v>
      </c>
      <c r="AJ116" s="113">
        <f>IF(AE116&lt;Valores!$E$40,-0.02,IF(AE116&lt;Valores!$F$40,-0.03,-0.04))*AE116</f>
        <v>-12861.732400000001</v>
      </c>
      <c r="AK116" s="113">
        <f>AE116*Valores!$C$42</f>
        <v>-35369.7641</v>
      </c>
      <c r="AL116" s="113">
        <f>Valores!$C$56</f>
        <v>-1270.1600000000001</v>
      </c>
      <c r="AM116" s="113">
        <f>IF($F$5=0,Valores!$C$57,(Valores!$C$57+$F$5*(Valores!$C$57)))</f>
        <v>-7026</v>
      </c>
      <c r="AN116" s="113">
        <f t="shared" si="19"/>
        <v>577247.43530000001</v>
      </c>
      <c r="AO116" s="113">
        <f t="shared" si="13"/>
        <v>-70739.528200000001</v>
      </c>
      <c r="AP116" s="113">
        <f t="shared" si="20"/>
        <v>-12861.732400000001</v>
      </c>
      <c r="AQ116" s="113">
        <f>AE116*Valores!$C$43</f>
        <v>-17363.338739999999</v>
      </c>
      <c r="AR116" s="113">
        <f>AE116*Valores!$C$44</f>
        <v>-1929.2598600000001</v>
      </c>
      <c r="AS116" s="113">
        <f t="shared" si="15"/>
        <v>601620.76079999993</v>
      </c>
      <c r="AT116" s="113">
        <f>AE116*Valores!$C$46</f>
        <v>102893.85920000001</v>
      </c>
      <c r="AU116" s="113">
        <f>AE116*Valores!$C$47</f>
        <v>45016.063400000006</v>
      </c>
      <c r="AV116" s="113">
        <f>AE116*Valores!$C$48</f>
        <v>6430.8662000000004</v>
      </c>
      <c r="AW116" s="113">
        <f>AE116*Valores!$C$50</f>
        <v>22508.031700000003</v>
      </c>
      <c r="AX116" s="113">
        <f>AE116*Valores!$C$52</f>
        <v>34726.677479999998</v>
      </c>
      <c r="AY116" s="113">
        <f>AE116*Valores!$C$51</f>
        <v>3858.5197200000002</v>
      </c>
      <c r="AZ116" s="114"/>
      <c r="BA116" s="114">
        <v>30</v>
      </c>
      <c r="BB116" s="111" t="s">
        <v>4</v>
      </c>
    </row>
    <row r="117" spans="1:54" s="100" customFormat="1" ht="11.25" customHeight="1" x14ac:dyDescent="0.15">
      <c r="A117" s="111" t="s">
        <v>286</v>
      </c>
      <c r="B117" s="111">
        <v>1</v>
      </c>
      <c r="C117" s="114">
        <v>110</v>
      </c>
      <c r="D117" s="112" t="s">
        <v>287</v>
      </c>
      <c r="E117" s="169">
        <v>1278</v>
      </c>
      <c r="F117" s="113">
        <f>ROUND(E117*Valores!$C$2,2)</f>
        <v>124996.07</v>
      </c>
      <c r="G117" s="169">
        <v>0</v>
      </c>
      <c r="H117" s="113">
        <f>ROUND(G117*Valores!$C$2,2)</f>
        <v>0</v>
      </c>
      <c r="I117" s="169">
        <v>0</v>
      </c>
      <c r="J117" s="113">
        <f>ROUND(I117*Valores!$C$2,2)</f>
        <v>0</v>
      </c>
      <c r="K117" s="169">
        <v>0</v>
      </c>
      <c r="L117" s="113">
        <f>ROUND(K117*Valores!$C$2,2)</f>
        <v>0</v>
      </c>
      <c r="M117" s="113">
        <f>ROUND(IF($H$2=0,IF(AND(A117&lt;&gt;"13-930",A117&lt;&gt;"13-940"),(SUM(F117,H117,J117,L117,W117,S117,Q117)*Valores!$C$4),0),0),2)</f>
        <v>50464.91</v>
      </c>
      <c r="N117" s="113">
        <f t="shared" si="16"/>
        <v>0</v>
      </c>
      <c r="O117" s="113">
        <f>Valores!C$77</f>
        <v>214543.99</v>
      </c>
      <c r="P117" s="113">
        <f>Valores!$D$5</f>
        <v>49998.43</v>
      </c>
      <c r="Q117" s="113">
        <f>IF($F$4="NO",Valores!$C$21,Valores!$C$21/2)</f>
        <v>30817.87</v>
      </c>
      <c r="R117" s="113">
        <f>Valores!$C$9</f>
        <v>46045.69</v>
      </c>
      <c r="S117" s="113">
        <f t="shared" si="21"/>
        <v>46045.69</v>
      </c>
      <c r="T117" s="113">
        <v>0</v>
      </c>
      <c r="U117" s="113">
        <v>0</v>
      </c>
      <c r="V117" s="169">
        <v>0</v>
      </c>
      <c r="W117" s="113">
        <f>ROUND(V117*Valores!$C$2,2)</f>
        <v>0</v>
      </c>
      <c r="X117" s="113">
        <v>0</v>
      </c>
      <c r="Y117" s="188">
        <v>0</v>
      </c>
      <c r="Z117" s="113">
        <f t="shared" si="17"/>
        <v>0</v>
      </c>
      <c r="AA117" s="169">
        <v>0</v>
      </c>
      <c r="AB117" s="113">
        <f>ROUND(AA117*Valores!$C$2,2)</f>
        <v>0</v>
      </c>
      <c r="AC117" s="113">
        <f>ROUND(IF($F$4="NO",Valores!$C$32,Valores!$C$32/2),2)</f>
        <v>23377.77</v>
      </c>
      <c r="AD117" s="113">
        <f>SUM(F117,H117,J117,L117,M117,N117,O117,P117,Q117,S117,T117,U117,W117,X117,Z117,AB117,AC117)*Valores!$C$58</f>
        <v>54024.472999999998</v>
      </c>
      <c r="AE117" s="113">
        <f t="shared" si="18"/>
        <v>594269.20299999998</v>
      </c>
      <c r="AF117" s="113">
        <f>Valores!$C$11</f>
        <v>36428</v>
      </c>
      <c r="AG117" s="113">
        <f>Valores!$C$59</f>
        <v>25000</v>
      </c>
      <c r="AH117" s="113">
        <f t="shared" si="14"/>
        <v>61428</v>
      </c>
      <c r="AI117" s="113">
        <f>AE117*Valores!$C$39</f>
        <v>-65369.612329999996</v>
      </c>
      <c r="AJ117" s="113">
        <f>IF(AE117&lt;Valores!$E$40,-0.02,IF(AE117&lt;Valores!$F$40,-0.03,-0.04))*AE117</f>
        <v>-11885.38406</v>
      </c>
      <c r="AK117" s="113">
        <f>AE117*Valores!$C$42</f>
        <v>-32684.806164999998</v>
      </c>
      <c r="AL117" s="113">
        <f>Valores!$C$56</f>
        <v>-1270.1600000000001</v>
      </c>
      <c r="AM117" s="113">
        <f>IF($F$5=0,Valores!$C$57,(Valores!$C$57+$F$5*(Valores!$C$57)))</f>
        <v>-7026</v>
      </c>
      <c r="AN117" s="113">
        <f t="shared" si="19"/>
        <v>537461.240445</v>
      </c>
      <c r="AO117" s="113">
        <f t="shared" si="13"/>
        <v>-65369.612329999996</v>
      </c>
      <c r="AP117" s="113">
        <f t="shared" si="20"/>
        <v>-11885.38406</v>
      </c>
      <c r="AQ117" s="113">
        <f>AE117*Valores!$C$43</f>
        <v>-16045.268480999999</v>
      </c>
      <c r="AR117" s="113">
        <f>AE117*Valores!$C$44</f>
        <v>-1782.807609</v>
      </c>
      <c r="AS117" s="113">
        <f t="shared" si="15"/>
        <v>560614.13052000001</v>
      </c>
      <c r="AT117" s="113">
        <f>AE117*Valores!$C$46</f>
        <v>95083.072480000003</v>
      </c>
      <c r="AU117" s="113">
        <f>AE117*Valores!$C$47</f>
        <v>41598.844210000003</v>
      </c>
      <c r="AV117" s="113">
        <f>AE117*Valores!$C$48</f>
        <v>5942.6920300000002</v>
      </c>
      <c r="AW117" s="113">
        <f>AE117*Valores!$C$50</f>
        <v>20799.422105000001</v>
      </c>
      <c r="AX117" s="113">
        <f>AE117*Valores!$C$52</f>
        <v>32090.536961999998</v>
      </c>
      <c r="AY117" s="113">
        <f>AE117*Valores!$C$51</f>
        <v>3565.6152179999999</v>
      </c>
      <c r="AZ117" s="114"/>
      <c r="BA117" s="114">
        <v>30</v>
      </c>
      <c r="BB117" s="111" t="s">
        <v>4</v>
      </c>
    </row>
    <row r="118" spans="1:54" s="100" customFormat="1" ht="11.25" customHeight="1" x14ac:dyDescent="0.15">
      <c r="A118" s="111" t="s">
        <v>288</v>
      </c>
      <c r="B118" s="111">
        <v>1</v>
      </c>
      <c r="C118" s="114">
        <v>111</v>
      </c>
      <c r="D118" s="112" t="s">
        <v>289</v>
      </c>
      <c r="E118" s="169">
        <v>77</v>
      </c>
      <c r="F118" s="113">
        <f>ROUND(E118*Valores!$C$2,2)</f>
        <v>7531.06</v>
      </c>
      <c r="G118" s="169">
        <v>2073</v>
      </c>
      <c r="H118" s="113">
        <f>ROUND(G118*Valores!$C$2,2)</f>
        <v>202751.84</v>
      </c>
      <c r="I118" s="169">
        <v>0</v>
      </c>
      <c r="J118" s="113">
        <f>ROUND(I118*Valores!$C$2,2)</f>
        <v>0</v>
      </c>
      <c r="K118" s="169">
        <v>0</v>
      </c>
      <c r="L118" s="113">
        <f>ROUND(K118*Valores!$C$2,2)</f>
        <v>0</v>
      </c>
      <c r="M118" s="113">
        <f>ROUND(IF($H$2=0,IF(AND(A118&lt;&gt;"13-930",A118&lt;&gt;"13-940"),(SUM(F118,H118,J118,L118,W118,S118,Q118)*Valores!$C$4),0),0),2)</f>
        <v>72883.850000000006</v>
      </c>
      <c r="N118" s="113">
        <f t="shared" si="16"/>
        <v>0</v>
      </c>
      <c r="O118" s="113">
        <f>Valores!C$81</f>
        <v>239735.67999999999</v>
      </c>
      <c r="P118" s="113">
        <f>Valores!$D$5</f>
        <v>49998.43</v>
      </c>
      <c r="Q118" s="113">
        <f>IF($F$4="NO",Valores!$C$23,Valores!$C$23/2)</f>
        <v>34731.18</v>
      </c>
      <c r="R118" s="113">
        <f>Valores!$C$8</f>
        <v>46521.33</v>
      </c>
      <c r="S118" s="113">
        <f t="shared" si="21"/>
        <v>46521.33</v>
      </c>
      <c r="T118" s="113">
        <v>0</v>
      </c>
      <c r="U118" s="113">
        <v>0</v>
      </c>
      <c r="V118" s="169">
        <v>0</v>
      </c>
      <c r="W118" s="113">
        <f>ROUND(V118*Valores!$C$2,2)</f>
        <v>0</v>
      </c>
      <c r="X118" s="113">
        <v>0</v>
      </c>
      <c r="Y118" s="188">
        <v>0</v>
      </c>
      <c r="Z118" s="113">
        <f t="shared" si="17"/>
        <v>0</v>
      </c>
      <c r="AA118" s="169">
        <v>0</v>
      </c>
      <c r="AB118" s="113">
        <f>ROUND(AA118*Valores!$C$2,2)</f>
        <v>0</v>
      </c>
      <c r="AC118" s="113">
        <f>ROUND(IF($F$4="NO",Valores!$C$32,Valores!$C$32/2),2)</f>
        <v>23377.77</v>
      </c>
      <c r="AD118" s="113">
        <f>SUM(F118,H118,J118,L118,M118,N118,O118,P118,Q118,S118,T118,U118,W118,X118,Z118,AB118,AC118)*Valores!$C$58</f>
        <v>67753.114000000001</v>
      </c>
      <c r="AE118" s="113">
        <f t="shared" si="18"/>
        <v>745284.25399999996</v>
      </c>
      <c r="AF118" s="113">
        <f>Valores!$C$11</f>
        <v>36428</v>
      </c>
      <c r="AG118" s="113">
        <f>Valores!$C$59</f>
        <v>25000</v>
      </c>
      <c r="AH118" s="113">
        <f t="shared" si="14"/>
        <v>61428</v>
      </c>
      <c r="AI118" s="113">
        <f>AE118*Valores!$C$39</f>
        <v>-81981.267939999991</v>
      </c>
      <c r="AJ118" s="113">
        <f>IF(AE118&lt;Valores!$E$40,-0.02,IF(AE118&lt;Valores!$F$40,-0.03,-0.04))*AE118</f>
        <v>-14905.685079999999</v>
      </c>
      <c r="AK118" s="113">
        <f>AE118*Valores!$C$42</f>
        <v>-40990.633969999995</v>
      </c>
      <c r="AL118" s="113">
        <f>Valores!$C$56</f>
        <v>-1270.1600000000001</v>
      </c>
      <c r="AM118" s="113">
        <f>IF($F$5=0,Valores!$C$57,(Valores!$C$57+$F$5*(Valores!$C$57)))</f>
        <v>-7026</v>
      </c>
      <c r="AN118" s="113">
        <f t="shared" si="19"/>
        <v>660538.50700999994</v>
      </c>
      <c r="AO118" s="113">
        <f t="shared" si="13"/>
        <v>-81981.267939999991</v>
      </c>
      <c r="AP118" s="113">
        <f t="shared" si="20"/>
        <v>-14905.685079999999</v>
      </c>
      <c r="AQ118" s="113">
        <f>AE118*Valores!$C$43</f>
        <v>-20122.674857999998</v>
      </c>
      <c r="AR118" s="113">
        <f>AE118*Valores!$C$44</f>
        <v>-2235.852762</v>
      </c>
      <c r="AS118" s="113">
        <f t="shared" si="15"/>
        <v>687466.77335999999</v>
      </c>
      <c r="AT118" s="113">
        <f>AE118*Valores!$C$46</f>
        <v>119245.48063999999</v>
      </c>
      <c r="AU118" s="113">
        <f>AE118*Valores!$C$47</f>
        <v>52169.897779999999</v>
      </c>
      <c r="AV118" s="113">
        <f>AE118*Valores!$C$48</f>
        <v>7452.8425399999996</v>
      </c>
      <c r="AW118" s="113">
        <f>AE118*Valores!$C$50</f>
        <v>26084.94889</v>
      </c>
      <c r="AX118" s="113">
        <f>AE118*Valores!$C$52</f>
        <v>40245.349715999997</v>
      </c>
      <c r="AY118" s="113">
        <f>AE118*Valores!$C$51</f>
        <v>4471.705524</v>
      </c>
      <c r="AZ118" s="114"/>
      <c r="BA118" s="114">
        <v>30</v>
      </c>
      <c r="BB118" s="111" t="s">
        <v>4</v>
      </c>
    </row>
    <row r="119" spans="1:54" s="100" customFormat="1" ht="11.25" customHeight="1" x14ac:dyDescent="0.15">
      <c r="A119" s="111" t="s">
        <v>290</v>
      </c>
      <c r="B119" s="111">
        <v>1</v>
      </c>
      <c r="C119" s="114">
        <v>112</v>
      </c>
      <c r="D119" s="112" t="s">
        <v>291</v>
      </c>
      <c r="E119" s="169">
        <v>77</v>
      </c>
      <c r="F119" s="113">
        <f>ROUND(E119*Valores!$C$2,2)</f>
        <v>7531.06</v>
      </c>
      <c r="G119" s="169">
        <v>2043</v>
      </c>
      <c r="H119" s="113">
        <f>ROUND(G119*Valores!$C$2,2)</f>
        <v>199817.66</v>
      </c>
      <c r="I119" s="169">
        <v>0</v>
      </c>
      <c r="J119" s="113">
        <f>ROUND(I119*Valores!$C$2,2)</f>
        <v>0</v>
      </c>
      <c r="K119" s="169">
        <v>0</v>
      </c>
      <c r="L119" s="113">
        <f>ROUND(K119*Valores!$C$2,2)</f>
        <v>0</v>
      </c>
      <c r="M119" s="113">
        <f>ROUND(IF($H$2=0,IF(AND(A119&lt;&gt;"13-930",A119&lt;&gt;"13-940"),(SUM(F119,H119,J119,L119,W119,S119,Q119)*Valores!$C$4),0),0),2)</f>
        <v>72150.31</v>
      </c>
      <c r="N119" s="113">
        <f t="shared" si="16"/>
        <v>0</v>
      </c>
      <c r="O119" s="113">
        <f>Valores!C$82</f>
        <v>240052.44</v>
      </c>
      <c r="P119" s="113">
        <f>Valores!$D$5</f>
        <v>49998.43</v>
      </c>
      <c r="Q119" s="113">
        <f>IF($F$4="NO",Valores!$C$23,Valores!$C$23/2)</f>
        <v>34731.18</v>
      </c>
      <c r="R119" s="113">
        <f>Valores!$C$8</f>
        <v>46521.33</v>
      </c>
      <c r="S119" s="113">
        <f t="shared" si="21"/>
        <v>46521.33</v>
      </c>
      <c r="T119" s="113">
        <v>0</v>
      </c>
      <c r="U119" s="113">
        <v>0</v>
      </c>
      <c r="V119" s="169">
        <v>0</v>
      </c>
      <c r="W119" s="113">
        <f>ROUND(V119*Valores!$C$2,2)</f>
        <v>0</v>
      </c>
      <c r="X119" s="113">
        <v>0</v>
      </c>
      <c r="Y119" s="188">
        <v>0</v>
      </c>
      <c r="Z119" s="113">
        <f t="shared" si="17"/>
        <v>0</v>
      </c>
      <c r="AA119" s="169">
        <v>0</v>
      </c>
      <c r="AB119" s="113">
        <f>ROUND(AA119*Valores!$C$2,2)</f>
        <v>0</v>
      </c>
      <c r="AC119" s="113">
        <f>ROUND(IF($F$4="NO",Valores!$C$32,Valores!$C$32/2),2)</f>
        <v>23377.77</v>
      </c>
      <c r="AD119" s="113">
        <f>SUM(F119,H119,J119,L119,M119,N119,O119,P119,Q119,S119,T119,U119,W119,X119,Z119,AB119,AC119)*Valores!$C$58</f>
        <v>67418.018000000011</v>
      </c>
      <c r="AE119" s="113">
        <f t="shared" si="18"/>
        <v>741598.19800000009</v>
      </c>
      <c r="AF119" s="113">
        <f>Valores!$C$11</f>
        <v>36428</v>
      </c>
      <c r="AG119" s="113">
        <f>Valores!$C$59</f>
        <v>25000</v>
      </c>
      <c r="AH119" s="113">
        <f t="shared" si="14"/>
        <v>61428</v>
      </c>
      <c r="AI119" s="113">
        <f>AE119*Valores!$C$39</f>
        <v>-81575.801780000009</v>
      </c>
      <c r="AJ119" s="113">
        <f>IF(AE119&lt;Valores!$E$40,-0.02,IF(AE119&lt;Valores!$F$40,-0.03,-0.04))*AE119</f>
        <v>-14831.963960000003</v>
      </c>
      <c r="AK119" s="113">
        <f>AE119*Valores!$C$42</f>
        <v>-40787.900890000004</v>
      </c>
      <c r="AL119" s="113">
        <f>Valores!$C$56</f>
        <v>-1270.1600000000001</v>
      </c>
      <c r="AM119" s="113">
        <f>IF($F$5=0,Valores!$C$57,(Valores!$C$57+$F$5*(Valores!$C$57)))</f>
        <v>-7026</v>
      </c>
      <c r="AN119" s="113">
        <f t="shared" si="19"/>
        <v>657534.37137000007</v>
      </c>
      <c r="AO119" s="113">
        <f t="shared" si="13"/>
        <v>-81575.801780000009</v>
      </c>
      <c r="AP119" s="113">
        <f t="shared" si="20"/>
        <v>-14831.963960000003</v>
      </c>
      <c r="AQ119" s="113">
        <f>AE119*Valores!$C$43</f>
        <v>-20023.151346000002</v>
      </c>
      <c r="AR119" s="113">
        <f>AE119*Valores!$C$44</f>
        <v>-2224.7945940000004</v>
      </c>
      <c r="AS119" s="113">
        <f t="shared" si="15"/>
        <v>684370.48632000003</v>
      </c>
      <c r="AT119" s="113">
        <f>AE119*Valores!$C$46</f>
        <v>118655.71168000002</v>
      </c>
      <c r="AU119" s="113">
        <f>AE119*Valores!$C$47</f>
        <v>51911.873860000014</v>
      </c>
      <c r="AV119" s="113">
        <f>AE119*Valores!$C$48</f>
        <v>7415.9819800000014</v>
      </c>
      <c r="AW119" s="113">
        <f>AE119*Valores!$C$50</f>
        <v>25955.936930000007</v>
      </c>
      <c r="AX119" s="113">
        <f>AE119*Valores!$C$52</f>
        <v>40046.302692000005</v>
      </c>
      <c r="AY119" s="113">
        <f>AE119*Valores!$C$51</f>
        <v>4449.5891880000008</v>
      </c>
      <c r="AZ119" s="114"/>
      <c r="BA119" s="114">
        <v>30</v>
      </c>
      <c r="BB119" s="111" t="s">
        <v>4</v>
      </c>
    </row>
    <row r="120" spans="1:54" s="100" customFormat="1" ht="11.25" customHeight="1" x14ac:dyDescent="0.15">
      <c r="A120" s="111" t="s">
        <v>292</v>
      </c>
      <c r="B120" s="111">
        <v>1</v>
      </c>
      <c r="C120" s="114">
        <v>113</v>
      </c>
      <c r="D120" s="112" t="s">
        <v>293</v>
      </c>
      <c r="E120" s="169">
        <v>76</v>
      </c>
      <c r="F120" s="113">
        <f>ROUND(E120*Valores!$C$2,2)</f>
        <v>7433.26</v>
      </c>
      <c r="G120" s="169">
        <v>1954</v>
      </c>
      <c r="H120" s="113">
        <f>ROUND(G120*Valores!$C$2,2)</f>
        <v>191112.92</v>
      </c>
      <c r="I120" s="169">
        <v>0</v>
      </c>
      <c r="J120" s="113">
        <f>ROUND(I120*Valores!$C$2,2)</f>
        <v>0</v>
      </c>
      <c r="K120" s="169">
        <v>0</v>
      </c>
      <c r="L120" s="113">
        <f>ROUND(K120*Valores!$C$2,2)</f>
        <v>0</v>
      </c>
      <c r="M120" s="113">
        <f>ROUND(IF($H$2=0,IF(AND(A120&lt;&gt;"13-930",A120&lt;&gt;"13-940"),(SUM(F120,H120,J120,L120,W120,S120,Q120)*Valores!$C$4),0),0),2)</f>
        <v>69949.67</v>
      </c>
      <c r="N120" s="113">
        <f t="shared" si="16"/>
        <v>0</v>
      </c>
      <c r="O120" s="113">
        <f>Valores!C$82</f>
        <v>240052.44</v>
      </c>
      <c r="P120" s="113">
        <f>Valores!$D$5</f>
        <v>49998.43</v>
      </c>
      <c r="Q120" s="113">
        <f>IF($F$4="NO",Valores!$C$23,Valores!$C$23/2)</f>
        <v>34731.18</v>
      </c>
      <c r="R120" s="113">
        <f>Valores!$C$8</f>
        <v>46521.33</v>
      </c>
      <c r="S120" s="113">
        <f t="shared" si="21"/>
        <v>46521.33</v>
      </c>
      <c r="T120" s="113">
        <v>0</v>
      </c>
      <c r="U120" s="113">
        <v>0</v>
      </c>
      <c r="V120" s="169">
        <v>0</v>
      </c>
      <c r="W120" s="113">
        <f>ROUND(V120*Valores!$C$2,2)</f>
        <v>0</v>
      </c>
      <c r="X120" s="113">
        <v>0</v>
      </c>
      <c r="Y120" s="188">
        <v>0</v>
      </c>
      <c r="Z120" s="113">
        <f t="shared" si="17"/>
        <v>0</v>
      </c>
      <c r="AA120" s="169">
        <v>0</v>
      </c>
      <c r="AB120" s="113">
        <f>ROUND(AA120*Valores!$C$2,2)</f>
        <v>0</v>
      </c>
      <c r="AC120" s="113">
        <f>ROUND(IF($F$4="NO",Valores!$C$32,Valores!$C$32/2),2)</f>
        <v>23377.77</v>
      </c>
      <c r="AD120" s="113">
        <f>SUM(F120,H120,J120,L120,M120,N120,O120,P120,Q120,S120,T120,U120,W120,X120,Z120,AB120,AC120)*Valores!$C$58</f>
        <v>66317.700000000012</v>
      </c>
      <c r="AE120" s="113">
        <f t="shared" si="18"/>
        <v>729494.70000000019</v>
      </c>
      <c r="AF120" s="113">
        <f>Valores!$C$11</f>
        <v>36428</v>
      </c>
      <c r="AG120" s="113">
        <f>Valores!$C$59</f>
        <v>25000</v>
      </c>
      <c r="AH120" s="113">
        <f t="shared" si="14"/>
        <v>61428</v>
      </c>
      <c r="AI120" s="113">
        <f>AE120*Valores!$C$39</f>
        <v>-80244.417000000016</v>
      </c>
      <c r="AJ120" s="113">
        <f>IF(AE120&lt;Valores!$E$40,-0.02,IF(AE120&lt;Valores!$F$40,-0.03,-0.04))*AE120</f>
        <v>-14589.894000000004</v>
      </c>
      <c r="AK120" s="113">
        <f>AE120*Valores!$C$42</f>
        <v>-40122.208500000008</v>
      </c>
      <c r="AL120" s="113">
        <f>Valores!$C$56</f>
        <v>-1270.1600000000001</v>
      </c>
      <c r="AM120" s="113">
        <f>IF($F$5=0,Valores!$C$57,(Valores!$C$57+$F$5*(Valores!$C$57)))</f>
        <v>-7026</v>
      </c>
      <c r="AN120" s="113">
        <f t="shared" si="19"/>
        <v>647670.0205000001</v>
      </c>
      <c r="AO120" s="113">
        <f t="shared" si="13"/>
        <v>-80244.417000000016</v>
      </c>
      <c r="AP120" s="113">
        <f t="shared" si="20"/>
        <v>-14589.894000000004</v>
      </c>
      <c r="AQ120" s="113">
        <f>AE120*Valores!$C$43</f>
        <v>-19696.356900000006</v>
      </c>
      <c r="AR120" s="113">
        <f>AE120*Valores!$C$44</f>
        <v>-2188.4841000000006</v>
      </c>
      <c r="AS120" s="113">
        <f t="shared" si="15"/>
        <v>674203.54800000018</v>
      </c>
      <c r="AT120" s="113">
        <f>AE120*Valores!$C$46</f>
        <v>116719.15200000003</v>
      </c>
      <c r="AU120" s="113">
        <f>AE120*Valores!$C$47</f>
        <v>51064.629000000015</v>
      </c>
      <c r="AV120" s="113">
        <f>AE120*Valores!$C$48</f>
        <v>7294.9470000000019</v>
      </c>
      <c r="AW120" s="113">
        <f>AE120*Valores!$C$50</f>
        <v>25532.314500000008</v>
      </c>
      <c r="AX120" s="113">
        <f>AE120*Valores!$C$52</f>
        <v>39392.713800000012</v>
      </c>
      <c r="AY120" s="113">
        <f>AE120*Valores!$C$51</f>
        <v>4376.9682000000012</v>
      </c>
      <c r="AZ120" s="114"/>
      <c r="BA120" s="114">
        <v>30</v>
      </c>
      <c r="BB120" s="111" t="s">
        <v>4</v>
      </c>
    </row>
    <row r="121" spans="1:54" s="100" customFormat="1" ht="11.25" customHeight="1" x14ac:dyDescent="0.15">
      <c r="A121" s="111" t="s">
        <v>294</v>
      </c>
      <c r="B121" s="111">
        <v>1</v>
      </c>
      <c r="C121" s="114">
        <v>114</v>
      </c>
      <c r="D121" s="112" t="s">
        <v>295</v>
      </c>
      <c r="E121" s="169">
        <v>274</v>
      </c>
      <c r="F121" s="113">
        <f>ROUND(E121*Valores!$C$2,2)</f>
        <v>26798.84</v>
      </c>
      <c r="G121" s="169">
        <v>1163</v>
      </c>
      <c r="H121" s="113">
        <f>ROUND(G121*Valores!$C$2,2)</f>
        <v>113748.38</v>
      </c>
      <c r="I121" s="169">
        <v>0</v>
      </c>
      <c r="J121" s="113">
        <f>ROUND(I121*Valores!$C$2,2)</f>
        <v>0</v>
      </c>
      <c r="K121" s="169">
        <v>0</v>
      </c>
      <c r="L121" s="113">
        <f>ROUND(K121*Valores!$C$2,2)</f>
        <v>0</v>
      </c>
      <c r="M121" s="113">
        <f>ROUND(IF($H$2=0,IF(AND(A121&lt;&gt;"13-930",A121&lt;&gt;"13-940"),(SUM(F121,H121,J121,L121,W121,S121,Q121)*Valores!$C$4),0),0),2)</f>
        <v>55449.93</v>
      </c>
      <c r="N121" s="113">
        <f t="shared" si="16"/>
        <v>0</v>
      </c>
      <c r="O121" s="113">
        <f>Valores!C$82</f>
        <v>240052.44</v>
      </c>
      <c r="P121" s="113">
        <f>Valores!$D$5</f>
        <v>49998.43</v>
      </c>
      <c r="Q121" s="113">
        <f>IF($F$4="NO",Valores!$C$23,Valores!$C$23/2)</f>
        <v>34731.18</v>
      </c>
      <c r="R121" s="113">
        <f>Valores!$C$8</f>
        <v>46521.33</v>
      </c>
      <c r="S121" s="113">
        <f t="shared" si="21"/>
        <v>46521.33</v>
      </c>
      <c r="T121" s="113">
        <v>0</v>
      </c>
      <c r="U121" s="113">
        <v>0</v>
      </c>
      <c r="V121" s="169">
        <v>0</v>
      </c>
      <c r="W121" s="113">
        <f>ROUND(V121*Valores!$C$2,2)</f>
        <v>0</v>
      </c>
      <c r="X121" s="113">
        <v>0</v>
      </c>
      <c r="Y121" s="188">
        <v>0</v>
      </c>
      <c r="Z121" s="113">
        <f t="shared" si="17"/>
        <v>0</v>
      </c>
      <c r="AA121" s="169">
        <v>0</v>
      </c>
      <c r="AB121" s="113">
        <f>ROUND(AA121*Valores!$C$2,2)</f>
        <v>0</v>
      </c>
      <c r="AC121" s="113">
        <f>ROUND(IF($F$4="NO",Valores!$C$32,Valores!$C$32/2),2)</f>
        <v>23377.77</v>
      </c>
      <c r="AD121" s="113">
        <f>SUM(F121,H121,J121,L121,M121,N121,O121,P121,Q121,S121,T121,U121,W121,X121,Z121,AB121,AC121)*Valores!$C$58</f>
        <v>59067.829999999994</v>
      </c>
      <c r="AE121" s="113">
        <f t="shared" si="18"/>
        <v>649746.12999999989</v>
      </c>
      <c r="AF121" s="113">
        <f>Valores!$C$11</f>
        <v>36428</v>
      </c>
      <c r="AG121" s="113">
        <f>Valores!$C$59</f>
        <v>25000</v>
      </c>
      <c r="AH121" s="113">
        <f t="shared" si="14"/>
        <v>61428</v>
      </c>
      <c r="AI121" s="113">
        <f>AE121*Valores!$C$39</f>
        <v>-71472.074299999993</v>
      </c>
      <c r="AJ121" s="113">
        <f>IF(AE121&lt;Valores!$E$40,-0.02,IF(AE121&lt;Valores!$F$40,-0.03,-0.04))*AE121</f>
        <v>-12994.922599999998</v>
      </c>
      <c r="AK121" s="113">
        <f>AE121*Valores!$C$42</f>
        <v>-35736.037149999996</v>
      </c>
      <c r="AL121" s="113">
        <f>Valores!$C$56</f>
        <v>-1270.1600000000001</v>
      </c>
      <c r="AM121" s="113">
        <f>IF($F$5=0,Valores!$C$57,(Valores!$C$57+$F$5*(Valores!$C$57)))</f>
        <v>-7026</v>
      </c>
      <c r="AN121" s="113">
        <f t="shared" si="19"/>
        <v>582674.93594999984</v>
      </c>
      <c r="AO121" s="113">
        <f t="shared" si="13"/>
        <v>-71472.074299999993</v>
      </c>
      <c r="AP121" s="113">
        <f t="shared" si="20"/>
        <v>-12994.922599999998</v>
      </c>
      <c r="AQ121" s="113">
        <f>AE121*Valores!$C$43</f>
        <v>-17543.145509999998</v>
      </c>
      <c r="AR121" s="113">
        <f>AE121*Valores!$C$44</f>
        <v>-1949.2383899999998</v>
      </c>
      <c r="AS121" s="113">
        <f t="shared" si="15"/>
        <v>607214.74919999985</v>
      </c>
      <c r="AT121" s="113">
        <f>AE121*Valores!$C$46</f>
        <v>103959.38079999998</v>
      </c>
      <c r="AU121" s="113">
        <f>AE121*Valores!$C$47</f>
        <v>45482.229099999997</v>
      </c>
      <c r="AV121" s="113">
        <f>AE121*Valores!$C$48</f>
        <v>6497.461299999999</v>
      </c>
      <c r="AW121" s="113">
        <f>AE121*Valores!$C$50</f>
        <v>22741.114549999998</v>
      </c>
      <c r="AX121" s="113">
        <f>AE121*Valores!$C$52</f>
        <v>35086.291019999997</v>
      </c>
      <c r="AY121" s="113">
        <f>AE121*Valores!$C$51</f>
        <v>3898.4767799999995</v>
      </c>
      <c r="AZ121" s="114"/>
      <c r="BA121" s="114">
        <v>30</v>
      </c>
      <c r="BB121" s="111" t="s">
        <v>4</v>
      </c>
    </row>
    <row r="122" spans="1:54" s="100" customFormat="1" ht="11.25" customHeight="1" x14ac:dyDescent="0.15">
      <c r="A122" s="111" t="s">
        <v>296</v>
      </c>
      <c r="B122" s="111">
        <v>1</v>
      </c>
      <c r="C122" s="114">
        <v>115</v>
      </c>
      <c r="D122" s="112" t="s">
        <v>297</v>
      </c>
      <c r="E122" s="169">
        <v>2800</v>
      </c>
      <c r="F122" s="113">
        <f>ROUND(E122*Valores!$C$2,2)</f>
        <v>273856.8</v>
      </c>
      <c r="G122" s="169">
        <v>0</v>
      </c>
      <c r="H122" s="113">
        <f>ROUND(G122*Valores!$C$2,2)</f>
        <v>0</v>
      </c>
      <c r="I122" s="169">
        <v>0</v>
      </c>
      <c r="J122" s="113">
        <f>ROUND(I122*Valores!$C$2,2)</f>
        <v>0</v>
      </c>
      <c r="K122" s="169">
        <v>0</v>
      </c>
      <c r="L122" s="113">
        <f>ROUND(K122*Valores!$C$2,2)</f>
        <v>0</v>
      </c>
      <c r="M122" s="113">
        <f>ROUND(IF($H$2=0,IF(AND(A122&lt;&gt;"13-930",A122&lt;&gt;"13-940"),(SUM(F122,H122,J122,L122,W122,S122,Q122)*Valores!$C$4),0),0),2)</f>
        <v>90614.79</v>
      </c>
      <c r="N122" s="113">
        <f t="shared" si="16"/>
        <v>0</v>
      </c>
      <c r="O122" s="113">
        <f>Valores!C$74</f>
        <v>201666.88</v>
      </c>
      <c r="P122" s="113">
        <f>Valores!$D$5</f>
        <v>49998.43</v>
      </c>
      <c r="Q122" s="113">
        <f>IF($F$4="NO",Valores!$C$25,Valores!$C$25/2)</f>
        <v>42556.65</v>
      </c>
      <c r="R122" s="113">
        <f>Valores!$C$9</f>
        <v>46045.69</v>
      </c>
      <c r="S122" s="113">
        <f t="shared" si="21"/>
        <v>46045.69</v>
      </c>
      <c r="T122" s="113">
        <v>0</v>
      </c>
      <c r="U122" s="113">
        <v>0</v>
      </c>
      <c r="V122" s="169">
        <v>0</v>
      </c>
      <c r="W122" s="113">
        <f>ROUND(V122*Valores!$C$2,2)</f>
        <v>0</v>
      </c>
      <c r="X122" s="113">
        <v>0</v>
      </c>
      <c r="Y122" s="188">
        <v>0</v>
      </c>
      <c r="Z122" s="113">
        <f t="shared" si="17"/>
        <v>0</v>
      </c>
      <c r="AA122" s="169">
        <v>0</v>
      </c>
      <c r="AB122" s="113">
        <f>ROUND(AA122*Valores!$C$2,2)</f>
        <v>0</v>
      </c>
      <c r="AC122" s="113">
        <f>ROUND(IF($F$4="NO",Valores!$C$32,Valores!$C$32/2),2)</f>
        <v>23377.77</v>
      </c>
      <c r="AD122" s="113">
        <f>SUM(F122,H122,J122,L122,M122,N122,O122,P122,Q122,S122,T122,U122,W122,X122,Z122,AB122,AC122)*Valores!$C$58</f>
        <v>72811.701000000001</v>
      </c>
      <c r="AE122" s="113">
        <f t="shared" si="18"/>
        <v>800928.71100000001</v>
      </c>
      <c r="AF122" s="113">
        <f>Valores!$C$12</f>
        <v>72856</v>
      </c>
      <c r="AG122" s="113">
        <f>Valores!$C$59</f>
        <v>25000</v>
      </c>
      <c r="AH122" s="113">
        <f t="shared" si="14"/>
        <v>97856</v>
      </c>
      <c r="AI122" s="113">
        <f>AE122*Valores!$C$39</f>
        <v>-88102.158210000009</v>
      </c>
      <c r="AJ122" s="113">
        <f>IF(AE122&lt;Valores!$E$40,-0.02,IF(AE122&lt;Valores!$F$40,-0.03,-0.04))*AE122</f>
        <v>-24027.86133</v>
      </c>
      <c r="AK122" s="113">
        <f>AE122*Valores!$C$42</f>
        <v>-44051.079105000004</v>
      </c>
      <c r="AL122" s="113">
        <f>Valores!$C$56</f>
        <v>-1270.1600000000001</v>
      </c>
      <c r="AM122" s="113">
        <f>IF($F$5=0,Valores!$C$57,(Valores!$C$57+$F$5*(Valores!$C$57)))</f>
        <v>-7026</v>
      </c>
      <c r="AN122" s="113">
        <f t="shared" si="19"/>
        <v>734307.45235499996</v>
      </c>
      <c r="AO122" s="113">
        <f t="shared" si="13"/>
        <v>-88102.158210000009</v>
      </c>
      <c r="AP122" s="113">
        <f t="shared" si="20"/>
        <v>-24027.86133</v>
      </c>
      <c r="AQ122" s="113">
        <f>AE122*Valores!$C$43</f>
        <v>-21625.075196999998</v>
      </c>
      <c r="AR122" s="113">
        <f>AE122*Valores!$C$44</f>
        <v>-2402.7861330000001</v>
      </c>
      <c r="AS122" s="113">
        <f t="shared" si="15"/>
        <v>762626.83013000002</v>
      </c>
      <c r="AT122" s="113">
        <f>AE122*Valores!$C$46</f>
        <v>128148.59376</v>
      </c>
      <c r="AU122" s="113">
        <f>AE122*Valores!$C$47</f>
        <v>56065.009770000004</v>
      </c>
      <c r="AV122" s="113">
        <f>AE122*Valores!$C$48</f>
        <v>8009.2871100000002</v>
      </c>
      <c r="AW122" s="113">
        <f>AE122*Valores!$C$50</f>
        <v>28032.504885000002</v>
      </c>
      <c r="AX122" s="113">
        <f>AE122*Valores!$C$52</f>
        <v>43250.150393999997</v>
      </c>
      <c r="AY122" s="113">
        <f>AE122*Valores!$C$51</f>
        <v>4805.5722660000001</v>
      </c>
      <c r="AZ122" s="114"/>
      <c r="BA122" s="114"/>
      <c r="BB122" s="111" t="s">
        <v>4</v>
      </c>
    </row>
    <row r="123" spans="1:54" s="100" customFormat="1" ht="11.25" customHeight="1" x14ac:dyDescent="0.15">
      <c r="A123" s="111" t="s">
        <v>298</v>
      </c>
      <c r="B123" s="111">
        <v>1</v>
      </c>
      <c r="C123" s="114">
        <v>116</v>
      </c>
      <c r="D123" s="112" t="s">
        <v>299</v>
      </c>
      <c r="E123" s="169">
        <v>2850</v>
      </c>
      <c r="F123" s="113">
        <f>ROUND(E123*Valores!$C$2,2)</f>
        <v>278747.09999999998</v>
      </c>
      <c r="G123" s="169">
        <v>0</v>
      </c>
      <c r="H123" s="113">
        <f>ROUND(G123*Valores!$C$2,2)</f>
        <v>0</v>
      </c>
      <c r="I123" s="169">
        <v>0</v>
      </c>
      <c r="J123" s="113">
        <f>ROUND(I123*Valores!$C$2,2)</f>
        <v>0</v>
      </c>
      <c r="K123" s="169">
        <v>0</v>
      </c>
      <c r="L123" s="113">
        <f>ROUND(K123*Valores!$C$2,2)</f>
        <v>0</v>
      </c>
      <c r="M123" s="113">
        <f>ROUND(IF($H$2=0,IF(AND(A123&lt;&gt;"13-930",A123&lt;&gt;"13-940"),(SUM(F123,H123,J123,L123,W123,S123,Q123)*Valores!$C$4),0),0),2)</f>
        <v>94264.49</v>
      </c>
      <c r="N123" s="113">
        <f t="shared" si="16"/>
        <v>0</v>
      </c>
      <c r="O123" s="113">
        <f>Valores!C$89</f>
        <v>308514.28999999998</v>
      </c>
      <c r="P123" s="113">
        <f>Valores!$D$5</f>
        <v>49998.43</v>
      </c>
      <c r="Q123" s="113">
        <f>IF($F$4="NO",Valores!$C$26,Valores!$C$26/2)</f>
        <v>52265.18</v>
      </c>
      <c r="R123" s="113">
        <f>Valores!$C$9</f>
        <v>46045.69</v>
      </c>
      <c r="S123" s="113">
        <f t="shared" si="21"/>
        <v>46045.69</v>
      </c>
      <c r="T123" s="113">
        <v>0</v>
      </c>
      <c r="U123" s="113">
        <v>0</v>
      </c>
      <c r="V123" s="169">
        <v>0</v>
      </c>
      <c r="W123" s="113">
        <f>ROUND(V123*Valores!$C$2,2)</f>
        <v>0</v>
      </c>
      <c r="X123" s="113">
        <v>0</v>
      </c>
      <c r="Y123" s="188">
        <v>0</v>
      </c>
      <c r="Z123" s="113">
        <f t="shared" si="17"/>
        <v>0</v>
      </c>
      <c r="AA123" s="169">
        <v>0</v>
      </c>
      <c r="AB123" s="113">
        <f>ROUND(AA123*Valores!$C$2,2)</f>
        <v>0</v>
      </c>
      <c r="AC123" s="113">
        <f>ROUND(IF($F$4="NO",Valores!$C$32,Valores!$C$32/2),2)</f>
        <v>23377.77</v>
      </c>
      <c r="AD123" s="113">
        <f>SUM(F123,H123,J123,L123,M123,N123,O123,P123,Q123,S123,T123,U123,W123,X123,Z123,AB123,AC123)*Valores!$C$58</f>
        <v>85321.294999999998</v>
      </c>
      <c r="AE123" s="113">
        <f t="shared" si="18"/>
        <v>938534.245</v>
      </c>
      <c r="AF123" s="113">
        <f>Valores!$C$12</f>
        <v>72856</v>
      </c>
      <c r="AG123" s="113">
        <f>Valores!$C$59</f>
        <v>25000</v>
      </c>
      <c r="AH123" s="113">
        <f t="shared" si="14"/>
        <v>97856</v>
      </c>
      <c r="AI123" s="113">
        <f>AE123*Valores!$C$39</f>
        <v>-103238.76695</v>
      </c>
      <c r="AJ123" s="113">
        <f>IF(AE123&lt;Valores!$E$40,-0.02,IF(AE123&lt;Valores!$F$40,-0.03,-0.04))*AE123</f>
        <v>-28156.02735</v>
      </c>
      <c r="AK123" s="113">
        <f>AE123*Valores!$C$42</f>
        <v>-51619.383475000002</v>
      </c>
      <c r="AL123" s="113">
        <f>Valores!$C$56</f>
        <v>-1270.1600000000001</v>
      </c>
      <c r="AM123" s="113">
        <f>IF($F$5=0,Valores!$C$57,(Valores!$C$57+$F$5*(Valores!$C$57)))</f>
        <v>-7026</v>
      </c>
      <c r="AN123" s="113">
        <f t="shared" si="19"/>
        <v>845079.90722499997</v>
      </c>
      <c r="AO123" s="113">
        <f t="shared" si="13"/>
        <v>-103238.76695</v>
      </c>
      <c r="AP123" s="113">
        <f t="shared" si="20"/>
        <v>-28156.02735</v>
      </c>
      <c r="AQ123" s="113">
        <f>AE123*Valores!$C$43</f>
        <v>-25340.424615</v>
      </c>
      <c r="AR123" s="113">
        <f>AE123*Valores!$C$44</f>
        <v>-2815.6027349999999</v>
      </c>
      <c r="AS123" s="113">
        <f t="shared" si="15"/>
        <v>876839.42335000006</v>
      </c>
      <c r="AT123" s="113">
        <f>AE123*Valores!$C$46</f>
        <v>150165.4792</v>
      </c>
      <c r="AU123" s="113">
        <f>AE123*Valores!$C$47</f>
        <v>65697.397150000004</v>
      </c>
      <c r="AV123" s="113">
        <f>AE123*Valores!$C$48</f>
        <v>9385.3424500000001</v>
      </c>
      <c r="AW123" s="113">
        <f>AE123*Valores!$C$50</f>
        <v>32848.698575000002</v>
      </c>
      <c r="AX123" s="113">
        <f>AE123*Valores!$C$52</f>
        <v>50680.84923</v>
      </c>
      <c r="AY123" s="113">
        <f>AE123*Valores!$C$51</f>
        <v>5631.2054699999999</v>
      </c>
      <c r="AZ123" s="114"/>
      <c r="BA123" s="114">
        <v>40</v>
      </c>
      <c r="BB123" s="111" t="s">
        <v>4</v>
      </c>
    </row>
    <row r="124" spans="1:54" s="100" customFormat="1" ht="11.25" customHeight="1" x14ac:dyDescent="0.15">
      <c r="A124" s="111" t="s">
        <v>300</v>
      </c>
      <c r="B124" s="111">
        <v>1</v>
      </c>
      <c r="C124" s="114">
        <v>117</v>
      </c>
      <c r="D124" s="112" t="s">
        <v>301</v>
      </c>
      <c r="E124" s="169">
        <v>1735</v>
      </c>
      <c r="F124" s="113">
        <f>ROUND(E124*Valores!$C$2,2)</f>
        <v>169693.41</v>
      </c>
      <c r="G124" s="169">
        <v>0</v>
      </c>
      <c r="H124" s="113">
        <f>ROUND(G124*Valores!$C$2,2)</f>
        <v>0</v>
      </c>
      <c r="I124" s="169">
        <v>0</v>
      </c>
      <c r="J124" s="113">
        <f>ROUND(I124*Valores!$C$2,2)</f>
        <v>0</v>
      </c>
      <c r="K124" s="169">
        <v>0</v>
      </c>
      <c r="L124" s="113">
        <f>ROUND(K124*Valores!$C$2,2)</f>
        <v>0</v>
      </c>
      <c r="M124" s="113">
        <f>ROUND(IF($H$2=0,IF(AND(A124&lt;&gt;"13-930",A124&lt;&gt;"13-940"),(SUM(F124,H124,J124,L124,W124,S124,Q124)*Valores!$C$4),0),0),2)</f>
        <v>62128.35</v>
      </c>
      <c r="N124" s="113">
        <f t="shared" si="16"/>
        <v>0</v>
      </c>
      <c r="O124" s="113">
        <f>Valores!C$66</f>
        <v>157063.19</v>
      </c>
      <c r="P124" s="113">
        <f>Valores!$D$5</f>
        <v>49998.43</v>
      </c>
      <c r="Q124" s="113">
        <f>IF($F$4="NO",Valores!$C$22,Valores!$C$22/2)</f>
        <v>32774.300000000003</v>
      </c>
      <c r="R124" s="113">
        <f>Valores!$C$9</f>
        <v>46045.69</v>
      </c>
      <c r="S124" s="113">
        <f t="shared" si="21"/>
        <v>46045.69</v>
      </c>
      <c r="T124" s="113">
        <v>0</v>
      </c>
      <c r="U124" s="113">
        <v>0</v>
      </c>
      <c r="V124" s="169">
        <v>0</v>
      </c>
      <c r="W124" s="113">
        <f>ROUND(V124*Valores!$C$2,2)</f>
        <v>0</v>
      </c>
      <c r="X124" s="113">
        <v>0</v>
      </c>
      <c r="Y124" s="188">
        <v>0</v>
      </c>
      <c r="Z124" s="113">
        <f t="shared" si="17"/>
        <v>0</v>
      </c>
      <c r="AA124" s="169">
        <v>0</v>
      </c>
      <c r="AB124" s="113">
        <f>ROUND(AA124*Valores!$C$2,2)</f>
        <v>0</v>
      </c>
      <c r="AC124" s="113">
        <f>ROUND(IF($F$4="NO",Valores!$C$32,Valores!$C$32/2),2)</f>
        <v>23377.77</v>
      </c>
      <c r="AD124" s="113">
        <f>SUM(F124,H124,J124,L124,M124,N124,O124,P124,Q124,S124,T124,U124,W124,X124,Z124,AB124,AC124)*Valores!$C$58</f>
        <v>54108.114000000001</v>
      </c>
      <c r="AE124" s="113">
        <f t="shared" si="18"/>
        <v>595189.25399999996</v>
      </c>
      <c r="AF124" s="113">
        <f>Valores!$C$11</f>
        <v>36428</v>
      </c>
      <c r="AG124" s="113">
        <f>Valores!$C$59</f>
        <v>25000</v>
      </c>
      <c r="AH124" s="113">
        <f t="shared" si="14"/>
        <v>61428</v>
      </c>
      <c r="AI124" s="113">
        <f>AE124*Valores!$C$39</f>
        <v>-65470.817939999994</v>
      </c>
      <c r="AJ124" s="113">
        <f>IF(AE124&lt;Valores!$E$40,-0.02,IF(AE124&lt;Valores!$F$40,-0.03,-0.04))*AE124</f>
        <v>-11903.78508</v>
      </c>
      <c r="AK124" s="113">
        <f>AE124*Valores!$C$42</f>
        <v>-32735.408969999997</v>
      </c>
      <c r="AL124" s="113">
        <f>Valores!$C$56</f>
        <v>-1270.1600000000001</v>
      </c>
      <c r="AM124" s="113">
        <f>IF($F$5=0,Valores!$C$57,(Valores!$C$57+$F$5*(Valores!$C$57)))</f>
        <v>-7026</v>
      </c>
      <c r="AN124" s="113">
        <f t="shared" si="19"/>
        <v>538211.08201000001</v>
      </c>
      <c r="AO124" s="113">
        <f t="shared" si="13"/>
        <v>-65470.817939999994</v>
      </c>
      <c r="AP124" s="113">
        <f t="shared" si="20"/>
        <v>-11903.78508</v>
      </c>
      <c r="AQ124" s="113">
        <f>AE124*Valores!$C$43</f>
        <v>-16070.109857999998</v>
      </c>
      <c r="AR124" s="113">
        <f>AE124*Valores!$C$44</f>
        <v>-1785.5677619999999</v>
      </c>
      <c r="AS124" s="113">
        <f t="shared" si="15"/>
        <v>561386.97335999995</v>
      </c>
      <c r="AT124" s="113">
        <f>AE124*Valores!$C$46</f>
        <v>95230.280639999997</v>
      </c>
      <c r="AU124" s="113">
        <f>AE124*Valores!$C$47</f>
        <v>41663.247779999998</v>
      </c>
      <c r="AV124" s="113">
        <f>AE124*Valores!$C$48</f>
        <v>5951.8925399999998</v>
      </c>
      <c r="AW124" s="113">
        <f>AE124*Valores!$C$50</f>
        <v>20831.623889999999</v>
      </c>
      <c r="AX124" s="113">
        <f>AE124*Valores!$C$52</f>
        <v>32140.219715999996</v>
      </c>
      <c r="AY124" s="113">
        <f>AE124*Valores!$C$51</f>
        <v>3571.1355239999998</v>
      </c>
      <c r="AZ124" s="114"/>
      <c r="BA124" s="114">
        <v>40</v>
      </c>
      <c r="BB124" s="111" t="s">
        <v>4</v>
      </c>
    </row>
    <row r="125" spans="1:54" s="100" customFormat="1" ht="11.25" customHeight="1" x14ac:dyDescent="0.15">
      <c r="A125" s="111" t="s">
        <v>302</v>
      </c>
      <c r="B125" s="111">
        <v>1</v>
      </c>
      <c r="C125" s="114">
        <v>118</v>
      </c>
      <c r="D125" s="112" t="s">
        <v>303</v>
      </c>
      <c r="E125" s="169">
        <v>72</v>
      </c>
      <c r="F125" s="113">
        <f>ROUND(E125*Valores!$C$2,2)</f>
        <v>7042.03</v>
      </c>
      <c r="G125" s="169">
        <v>1590</v>
      </c>
      <c r="H125" s="113">
        <f>ROUND(G125*Valores!$C$2,2)</f>
        <v>155511.54</v>
      </c>
      <c r="I125" s="169">
        <v>0</v>
      </c>
      <c r="J125" s="113">
        <f>ROUND(I125*Valores!$C$2,2)</f>
        <v>0</v>
      </c>
      <c r="K125" s="169">
        <v>0</v>
      </c>
      <c r="L125" s="113">
        <f>ROUND(K125*Valores!$C$2,2)</f>
        <v>0</v>
      </c>
      <c r="M125" s="113">
        <f>ROUND(IF($H$2=0,IF(AND(A125&lt;&gt;"13-930",A125&lt;&gt;"13-940"),(SUM(F125,H125,J125,L125,W125,S125,Q125)*Valores!$C$4),0),0),2)</f>
        <v>60343.39</v>
      </c>
      <c r="N125" s="113">
        <f t="shared" si="16"/>
        <v>0</v>
      </c>
      <c r="O125" s="113">
        <f>Valores!C$74</f>
        <v>201666.88</v>
      </c>
      <c r="P125" s="113">
        <f>Valores!$D$5</f>
        <v>49998.43</v>
      </c>
      <c r="Q125" s="113">
        <f>IF($F$4="NO",Valores!$C$22,Valores!$C$22/2)</f>
        <v>32774.300000000003</v>
      </c>
      <c r="R125" s="113">
        <f>Valores!$C$9</f>
        <v>46045.69</v>
      </c>
      <c r="S125" s="113">
        <f t="shared" si="21"/>
        <v>46045.69</v>
      </c>
      <c r="T125" s="113">
        <v>0</v>
      </c>
      <c r="U125" s="113">
        <v>0</v>
      </c>
      <c r="V125" s="169">
        <v>0</v>
      </c>
      <c r="W125" s="113">
        <f>ROUND(V125*Valores!$C$2,2)</f>
        <v>0</v>
      </c>
      <c r="X125" s="113">
        <v>0</v>
      </c>
      <c r="Y125" s="188">
        <v>0</v>
      </c>
      <c r="Z125" s="113">
        <f t="shared" si="17"/>
        <v>0</v>
      </c>
      <c r="AA125" s="169">
        <v>0</v>
      </c>
      <c r="AB125" s="113">
        <f>ROUND(AA125*Valores!$C$2,2)</f>
        <v>0</v>
      </c>
      <c r="AC125" s="113">
        <f>ROUND(IF($F$4="NO",Valores!$C$32,Valores!$C$32/2),2)</f>
        <v>23377.77</v>
      </c>
      <c r="AD125" s="113">
        <f>SUM(F125,H125,J125,L125,M125,N125,O125,P125,Q125,S125,T125,U125,W125,X125,Z125,AB125,AC125)*Valores!$C$58</f>
        <v>57676.003000000004</v>
      </c>
      <c r="AE125" s="113">
        <f t="shared" si="18"/>
        <v>634436.03300000005</v>
      </c>
      <c r="AF125" s="113">
        <f>Valores!$C$11</f>
        <v>36428</v>
      </c>
      <c r="AG125" s="113">
        <f>Valores!$C$59</f>
        <v>25000</v>
      </c>
      <c r="AH125" s="113">
        <f t="shared" si="14"/>
        <v>61428</v>
      </c>
      <c r="AI125" s="113">
        <f>AE125*Valores!$C$39</f>
        <v>-69787.963630000013</v>
      </c>
      <c r="AJ125" s="113">
        <f>IF(AE125&lt;Valores!$E$40,-0.02,IF(AE125&lt;Valores!$F$40,-0.03,-0.04))*AE125</f>
        <v>-12688.720660000001</v>
      </c>
      <c r="AK125" s="113">
        <f>AE125*Valores!$C$42</f>
        <v>-34893.981815000006</v>
      </c>
      <c r="AL125" s="113">
        <f>Valores!$C$56</f>
        <v>-1270.1600000000001</v>
      </c>
      <c r="AM125" s="113">
        <f>IF($F$5=0,Valores!$C$57,(Valores!$C$57+$F$5*(Valores!$C$57)))</f>
        <v>-7026</v>
      </c>
      <c r="AN125" s="113">
        <f t="shared" si="19"/>
        <v>570197.20689500007</v>
      </c>
      <c r="AO125" s="113">
        <f t="shared" si="13"/>
        <v>-69787.963630000013</v>
      </c>
      <c r="AP125" s="113">
        <f t="shared" si="20"/>
        <v>-12688.720660000001</v>
      </c>
      <c r="AQ125" s="113">
        <f>AE125*Valores!$C$43</f>
        <v>-17129.772891000001</v>
      </c>
      <c r="AR125" s="113">
        <f>AE125*Valores!$C$44</f>
        <v>-1903.3080990000003</v>
      </c>
      <c r="AS125" s="113">
        <f t="shared" si="15"/>
        <v>594354.26772</v>
      </c>
      <c r="AT125" s="113">
        <f>AE125*Valores!$C$46</f>
        <v>101509.76528000001</v>
      </c>
      <c r="AU125" s="113">
        <f>AE125*Valores!$C$47</f>
        <v>44410.522310000008</v>
      </c>
      <c r="AV125" s="113">
        <f>AE125*Valores!$C$48</f>
        <v>6344.3603300000004</v>
      </c>
      <c r="AW125" s="113">
        <f>AE125*Valores!$C$50</f>
        <v>22205.261155000004</v>
      </c>
      <c r="AX125" s="113">
        <f>AE125*Valores!$C$52</f>
        <v>34259.545782000001</v>
      </c>
      <c r="AY125" s="113">
        <f>AE125*Valores!$C$51</f>
        <v>3806.6161980000006</v>
      </c>
      <c r="AZ125" s="114"/>
      <c r="BA125" s="114">
        <v>25</v>
      </c>
      <c r="BB125" s="111" t="s">
        <v>4</v>
      </c>
    </row>
    <row r="126" spans="1:54" s="100" customFormat="1" ht="11.25" customHeight="1" x14ac:dyDescent="0.15">
      <c r="A126" s="111" t="s">
        <v>304</v>
      </c>
      <c r="B126" s="111">
        <v>1</v>
      </c>
      <c r="C126" s="114">
        <v>119</v>
      </c>
      <c r="D126" s="112" t="s">
        <v>305</v>
      </c>
      <c r="E126" s="169">
        <v>72</v>
      </c>
      <c r="F126" s="113">
        <f>ROUND(E126*Valores!$C$2,2)</f>
        <v>7042.03</v>
      </c>
      <c r="G126" s="169">
        <v>1590</v>
      </c>
      <c r="H126" s="113">
        <f>ROUND(G126*Valores!$C$2,2)</f>
        <v>155511.54</v>
      </c>
      <c r="I126" s="169">
        <v>0</v>
      </c>
      <c r="J126" s="113">
        <f>ROUND(I126*Valores!$C$2,2)</f>
        <v>0</v>
      </c>
      <c r="K126" s="169">
        <v>0</v>
      </c>
      <c r="L126" s="113">
        <f>ROUND(K126*Valores!$C$2,2)</f>
        <v>0</v>
      </c>
      <c r="M126" s="113">
        <f>ROUND(IF($H$2=0,IF(AND(A126&lt;&gt;"13-930",A126&lt;&gt;"13-940"),(SUM(F126,H126,J126,L126,W126,S126,Q126)*Valores!$C$4),0),0),2)</f>
        <v>60343.39</v>
      </c>
      <c r="N126" s="113">
        <f t="shared" si="16"/>
        <v>0</v>
      </c>
      <c r="O126" s="113">
        <f>Valores!C$74</f>
        <v>201666.88</v>
      </c>
      <c r="P126" s="113">
        <f>Valores!$D$5</f>
        <v>49998.43</v>
      </c>
      <c r="Q126" s="113">
        <f>IF($F$4="NO",Valores!$C$22,Valores!$C$22/2)</f>
        <v>32774.300000000003</v>
      </c>
      <c r="R126" s="113">
        <f>Valores!$C$9</f>
        <v>46045.69</v>
      </c>
      <c r="S126" s="113">
        <f t="shared" si="21"/>
        <v>46045.69</v>
      </c>
      <c r="T126" s="113">
        <v>0</v>
      </c>
      <c r="U126" s="113">
        <v>0</v>
      </c>
      <c r="V126" s="169">
        <v>0</v>
      </c>
      <c r="W126" s="113">
        <f>ROUND(V126*Valores!$C$2,2)</f>
        <v>0</v>
      </c>
      <c r="X126" s="113">
        <v>0</v>
      </c>
      <c r="Y126" s="188">
        <v>0</v>
      </c>
      <c r="Z126" s="113">
        <f t="shared" si="17"/>
        <v>0</v>
      </c>
      <c r="AA126" s="169">
        <v>94</v>
      </c>
      <c r="AB126" s="113">
        <f>ROUND(AA126*Valores!$C$2,2)</f>
        <v>9193.76</v>
      </c>
      <c r="AC126" s="113">
        <f>ROUND(IF($F$4="NO",Valores!$C$32,Valores!$C$32/2),2)</f>
        <v>23377.77</v>
      </c>
      <c r="AD126" s="113">
        <f>SUM(F126,H126,J126,L126,M126,N126,O126,P126,Q126,S126,T126,U126,W126,X126,Z126,AB126,AC126)*Valores!$C$58</f>
        <v>58595.379000000008</v>
      </c>
      <c r="AE126" s="113">
        <f t="shared" si="18"/>
        <v>644549.16899999999</v>
      </c>
      <c r="AF126" s="113">
        <f>Valores!$C$11</f>
        <v>36428</v>
      </c>
      <c r="AG126" s="113">
        <f>Valores!$C$59</f>
        <v>25000</v>
      </c>
      <c r="AH126" s="113">
        <f t="shared" si="14"/>
        <v>61428</v>
      </c>
      <c r="AI126" s="113">
        <f>AE126*Valores!$C$39</f>
        <v>-70900.408590000006</v>
      </c>
      <c r="AJ126" s="113">
        <f>IF(AE126&lt;Valores!$E$40,-0.02,IF(AE126&lt;Valores!$F$40,-0.03,-0.04))*AE126</f>
        <v>-12890.98338</v>
      </c>
      <c r="AK126" s="113">
        <f>AE126*Valores!$C$42</f>
        <v>-35450.204295000003</v>
      </c>
      <c r="AL126" s="113">
        <f>Valores!$C$56</f>
        <v>-1270.1600000000001</v>
      </c>
      <c r="AM126" s="113">
        <f>IF($F$5=0,Valores!$C$57,(Valores!$C$57+$F$5*(Valores!$C$57)))</f>
        <v>-7026</v>
      </c>
      <c r="AN126" s="113">
        <f t="shared" si="19"/>
        <v>578439.41273500002</v>
      </c>
      <c r="AO126" s="113">
        <f t="shared" si="13"/>
        <v>-70900.408590000006</v>
      </c>
      <c r="AP126" s="113">
        <f t="shared" si="20"/>
        <v>-12890.98338</v>
      </c>
      <c r="AQ126" s="113">
        <f>AE126*Valores!$C$43</f>
        <v>-17402.827562999999</v>
      </c>
      <c r="AR126" s="113">
        <f>AE126*Valores!$C$44</f>
        <v>-1933.6475070000001</v>
      </c>
      <c r="AS126" s="113">
        <f t="shared" si="15"/>
        <v>602849.30195999995</v>
      </c>
      <c r="AT126" s="113">
        <f>AE126*Valores!$C$46</f>
        <v>103127.86704</v>
      </c>
      <c r="AU126" s="113">
        <f>AE126*Valores!$C$47</f>
        <v>45118.441830000003</v>
      </c>
      <c r="AV126" s="113">
        <f>AE126*Valores!$C$48</f>
        <v>6445.4916899999998</v>
      </c>
      <c r="AW126" s="113">
        <f>AE126*Valores!$C$50</f>
        <v>22559.220915000002</v>
      </c>
      <c r="AX126" s="113">
        <f>AE126*Valores!$C$52</f>
        <v>34805.655125999998</v>
      </c>
      <c r="AY126" s="113">
        <f>AE126*Valores!$C$51</f>
        <v>3867.2950140000003</v>
      </c>
      <c r="AZ126" s="114"/>
      <c r="BA126" s="114">
        <v>20</v>
      </c>
      <c r="BB126" s="111" t="s">
        <v>4</v>
      </c>
    </row>
    <row r="127" spans="1:54" s="100" customFormat="1" ht="11.25" customHeight="1" x14ac:dyDescent="0.15">
      <c r="A127" s="111" t="s">
        <v>306</v>
      </c>
      <c r="B127" s="111">
        <v>1</v>
      </c>
      <c r="C127" s="114">
        <v>120</v>
      </c>
      <c r="D127" s="112" t="s">
        <v>307</v>
      </c>
      <c r="E127" s="169">
        <v>77</v>
      </c>
      <c r="F127" s="113">
        <f>ROUND(E127*Valores!$C$2,2)</f>
        <v>7531.06</v>
      </c>
      <c r="G127" s="169">
        <v>2043</v>
      </c>
      <c r="H127" s="113">
        <f>ROUND(G127*Valores!$C$2,2)</f>
        <v>199817.66</v>
      </c>
      <c r="I127" s="169">
        <v>0</v>
      </c>
      <c r="J127" s="113">
        <f>ROUND(I127*Valores!$C$2,2)</f>
        <v>0</v>
      </c>
      <c r="K127" s="169">
        <v>0</v>
      </c>
      <c r="L127" s="113">
        <f>ROUND(K127*Valores!$C$2,2)</f>
        <v>0</v>
      </c>
      <c r="M127" s="113">
        <f>ROUND(IF($H$2=0,IF(AND(A127&lt;&gt;"13-930",A127&lt;&gt;"13-940"),(SUM(F127,H127,J127,L127,W127,S127,Q127)*Valores!$C$4),0),0),2)</f>
        <v>72150.31</v>
      </c>
      <c r="N127" s="113">
        <f t="shared" si="16"/>
        <v>0</v>
      </c>
      <c r="O127" s="113">
        <f>Valores!C$75</f>
        <v>204360.45</v>
      </c>
      <c r="P127" s="113">
        <f>Valores!$D$5</f>
        <v>49998.43</v>
      </c>
      <c r="Q127" s="113">
        <f>IF($F$4="NO",Valores!$C$23,Valores!$C$23/2)</f>
        <v>34731.18</v>
      </c>
      <c r="R127" s="113">
        <f>Valores!$C$8</f>
        <v>46521.33</v>
      </c>
      <c r="S127" s="113">
        <f t="shared" si="21"/>
        <v>46521.33</v>
      </c>
      <c r="T127" s="113">
        <v>0</v>
      </c>
      <c r="U127" s="113">
        <v>0</v>
      </c>
      <c r="V127" s="169">
        <v>0</v>
      </c>
      <c r="W127" s="113">
        <f>ROUND(V127*Valores!$C$2,2)</f>
        <v>0</v>
      </c>
      <c r="X127" s="113">
        <v>0</v>
      </c>
      <c r="Y127" s="188">
        <v>0</v>
      </c>
      <c r="Z127" s="113">
        <f t="shared" si="17"/>
        <v>0</v>
      </c>
      <c r="AA127" s="169">
        <v>0</v>
      </c>
      <c r="AB127" s="113">
        <f>ROUND(AA127*Valores!$C$2,2)</f>
        <v>0</v>
      </c>
      <c r="AC127" s="113">
        <f>ROUND(IF($F$4="NO",Valores!$C$32,Valores!$C$32/2),2)</f>
        <v>23377.77</v>
      </c>
      <c r="AD127" s="113">
        <f>SUM(F127,H127,J127,L127,M127,N127,O127,P127,Q127,S127,T127,U127,W127,X127,Z127,AB127,AC127)*Valores!$C$58</f>
        <v>63848.81900000001</v>
      </c>
      <c r="AE127" s="113">
        <f t="shared" si="18"/>
        <v>702337.00900000008</v>
      </c>
      <c r="AF127" s="113">
        <f>Valores!$C$11</f>
        <v>36428</v>
      </c>
      <c r="AG127" s="113">
        <f>Valores!$C$59</f>
        <v>25000</v>
      </c>
      <c r="AH127" s="113">
        <f t="shared" si="14"/>
        <v>61428</v>
      </c>
      <c r="AI127" s="113">
        <f>AE127*Valores!$C$39</f>
        <v>-77257.070990000007</v>
      </c>
      <c r="AJ127" s="113">
        <f>IF(AE127&lt;Valores!$E$40,-0.02,IF(AE127&lt;Valores!$F$40,-0.03,-0.04))*AE127</f>
        <v>-14046.740180000003</v>
      </c>
      <c r="AK127" s="113">
        <f>AE127*Valores!$C$42</f>
        <v>-38628.535495000004</v>
      </c>
      <c r="AL127" s="113">
        <f>Valores!$C$56</f>
        <v>-1270.1600000000001</v>
      </c>
      <c r="AM127" s="113">
        <f>IF($F$5=0,Valores!$C$57,(Valores!$C$57+$F$5*(Valores!$C$57)))</f>
        <v>-7026</v>
      </c>
      <c r="AN127" s="113">
        <f t="shared" si="19"/>
        <v>625536.50233500008</v>
      </c>
      <c r="AO127" s="113">
        <f t="shared" si="13"/>
        <v>-77257.070990000007</v>
      </c>
      <c r="AP127" s="113">
        <f t="shared" si="20"/>
        <v>-14046.740180000003</v>
      </c>
      <c r="AQ127" s="113">
        <f>AE127*Valores!$C$43</f>
        <v>-18963.099243000001</v>
      </c>
      <c r="AR127" s="113">
        <f>AE127*Valores!$C$44</f>
        <v>-2107.0110270000005</v>
      </c>
      <c r="AS127" s="113">
        <f t="shared" si="15"/>
        <v>651391.08756000001</v>
      </c>
      <c r="AT127" s="113">
        <f>AE127*Valores!$C$46</f>
        <v>112373.92144000002</v>
      </c>
      <c r="AU127" s="113">
        <f>AE127*Valores!$C$47</f>
        <v>49163.590630000013</v>
      </c>
      <c r="AV127" s="113">
        <f>AE127*Valores!$C$48</f>
        <v>7023.3700900000013</v>
      </c>
      <c r="AW127" s="113">
        <f>AE127*Valores!$C$50</f>
        <v>24581.795315000007</v>
      </c>
      <c r="AX127" s="113">
        <f>AE127*Valores!$C$52</f>
        <v>37926.198486000001</v>
      </c>
      <c r="AY127" s="113">
        <f>AE127*Valores!$C$51</f>
        <v>4214.0220540000009</v>
      </c>
      <c r="AZ127" s="114"/>
      <c r="BA127" s="114"/>
      <c r="BB127" s="111" t="s">
        <v>4</v>
      </c>
    </row>
    <row r="128" spans="1:54" s="100" customFormat="1" ht="11.25" customHeight="1" x14ac:dyDescent="0.15">
      <c r="A128" s="111" t="s">
        <v>308</v>
      </c>
      <c r="B128" s="111">
        <v>1</v>
      </c>
      <c r="C128" s="114">
        <v>121</v>
      </c>
      <c r="D128" s="112" t="s">
        <v>309</v>
      </c>
      <c r="E128" s="169">
        <v>61</v>
      </c>
      <c r="F128" s="113">
        <f>ROUND(E128*Valores!$C$2,2)</f>
        <v>5966.17</v>
      </c>
      <c r="G128" s="169">
        <v>1217</v>
      </c>
      <c r="H128" s="113">
        <f>ROUND(G128*Valores!$C$2,2)</f>
        <v>119029.9</v>
      </c>
      <c r="I128" s="169">
        <v>0</v>
      </c>
      <c r="J128" s="113">
        <f>ROUND(I128*Valores!$C$2,2)</f>
        <v>0</v>
      </c>
      <c r="K128" s="169">
        <v>0</v>
      </c>
      <c r="L128" s="113">
        <f>ROUND(K128*Valores!$C$2,2)</f>
        <v>0</v>
      </c>
      <c r="M128" s="113">
        <f>ROUND(IF($H$2=0,IF(AND(A128&lt;&gt;"13-930",A128&lt;&gt;"13-940"),(SUM(F128,H128,J128,L128,W128,S128,Q128)*Valores!$C$4),0),0),2)</f>
        <v>51072.93</v>
      </c>
      <c r="N128" s="113">
        <f t="shared" si="16"/>
        <v>0</v>
      </c>
      <c r="O128" s="113">
        <f>Valores!C$74</f>
        <v>201666.88</v>
      </c>
      <c r="P128" s="113">
        <f>Valores!$D$5</f>
        <v>49998.43</v>
      </c>
      <c r="Q128" s="113">
        <f>IF($F$4="NO",Valores!$C$22,Valores!$C$22/2)</f>
        <v>32774.300000000003</v>
      </c>
      <c r="R128" s="113">
        <f>Valores!$C$8</f>
        <v>46521.33</v>
      </c>
      <c r="S128" s="113">
        <f t="shared" si="21"/>
        <v>46521.33</v>
      </c>
      <c r="T128" s="113">
        <v>0</v>
      </c>
      <c r="U128" s="113">
        <v>0</v>
      </c>
      <c r="V128" s="169">
        <v>0</v>
      </c>
      <c r="W128" s="113">
        <f>ROUND(V128*Valores!$C$2,2)</f>
        <v>0</v>
      </c>
      <c r="X128" s="113">
        <v>0</v>
      </c>
      <c r="Y128" s="188">
        <v>0</v>
      </c>
      <c r="Z128" s="113">
        <f t="shared" si="17"/>
        <v>0</v>
      </c>
      <c r="AA128" s="169">
        <v>0</v>
      </c>
      <c r="AB128" s="113">
        <f>ROUND(AA128*Valores!$C$2,2)</f>
        <v>0</v>
      </c>
      <c r="AC128" s="113">
        <f>ROUND(IF($F$4="NO",Valores!$C$32,Valores!$C$32/2),2)</f>
        <v>23377.77</v>
      </c>
      <c r="AD128" s="113">
        <f>SUM(F128,H128,J128,L128,M128,N128,O128,P128,Q128,S128,T128,U128,W128,X128,Z128,AB128,AC128)*Valores!$C$58</f>
        <v>53040.771000000001</v>
      </c>
      <c r="AE128" s="113">
        <f t="shared" si="18"/>
        <v>583448.48099999991</v>
      </c>
      <c r="AF128" s="113">
        <f>Valores!$C$11</f>
        <v>36428</v>
      </c>
      <c r="AG128" s="113">
        <f>Valores!$C$59</f>
        <v>25000</v>
      </c>
      <c r="AH128" s="113">
        <f t="shared" si="14"/>
        <v>61428</v>
      </c>
      <c r="AI128" s="113">
        <f>AE128*Valores!$C$39</f>
        <v>-64179.33290999999</v>
      </c>
      <c r="AJ128" s="113">
        <f>IF(AE128&lt;Valores!$E$40,-0.02,IF(AE128&lt;Valores!$F$40,-0.03,-0.04))*AE128</f>
        <v>-11668.969619999998</v>
      </c>
      <c r="AK128" s="113">
        <f>AE128*Valores!$C$42</f>
        <v>-32089.666454999995</v>
      </c>
      <c r="AL128" s="113">
        <f>Valores!$C$56</f>
        <v>-1270.1600000000001</v>
      </c>
      <c r="AM128" s="113">
        <f>IF($F$5=0,Valores!$C$57,(Valores!$C$57+$F$5*(Valores!$C$57)))</f>
        <v>-7026</v>
      </c>
      <c r="AN128" s="113">
        <f t="shared" si="19"/>
        <v>528642.35201499995</v>
      </c>
      <c r="AO128" s="113">
        <f t="shared" si="13"/>
        <v>-64179.33290999999</v>
      </c>
      <c r="AP128" s="113">
        <f t="shared" si="20"/>
        <v>-11668.969619999998</v>
      </c>
      <c r="AQ128" s="113">
        <f>AE128*Valores!$C$43</f>
        <v>-15753.108986999998</v>
      </c>
      <c r="AR128" s="113">
        <f>AE128*Valores!$C$44</f>
        <v>-1750.3454429999997</v>
      </c>
      <c r="AS128" s="113">
        <f t="shared" si="15"/>
        <v>551524.72403999988</v>
      </c>
      <c r="AT128" s="113">
        <f>AE128*Valores!$C$46</f>
        <v>93351.756959999984</v>
      </c>
      <c r="AU128" s="113">
        <f>AE128*Valores!$C$47</f>
        <v>40841.393669999998</v>
      </c>
      <c r="AV128" s="113">
        <f>AE128*Valores!$C$48</f>
        <v>5834.484809999999</v>
      </c>
      <c r="AW128" s="113">
        <f>AE128*Valores!$C$50</f>
        <v>20420.696834999999</v>
      </c>
      <c r="AX128" s="113">
        <f>AE128*Valores!$C$52</f>
        <v>31506.217973999996</v>
      </c>
      <c r="AY128" s="113">
        <f>AE128*Valores!$C$51</f>
        <v>3500.6908859999994</v>
      </c>
      <c r="AZ128" s="114"/>
      <c r="BA128" s="114">
        <v>25</v>
      </c>
      <c r="BB128" s="111" t="s">
        <v>4</v>
      </c>
    </row>
    <row r="129" spans="1:54" s="100" customFormat="1" ht="11.25" customHeight="1" x14ac:dyDescent="0.15">
      <c r="A129" s="111" t="s">
        <v>310</v>
      </c>
      <c r="B129" s="111">
        <v>1</v>
      </c>
      <c r="C129" s="114">
        <v>122</v>
      </c>
      <c r="D129" s="112" t="s">
        <v>311</v>
      </c>
      <c r="E129" s="169">
        <v>72</v>
      </c>
      <c r="F129" s="113">
        <f>ROUND(E129*Valores!$C$2,2)</f>
        <v>7042.03</v>
      </c>
      <c r="G129" s="169">
        <v>1206</v>
      </c>
      <c r="H129" s="113">
        <f>ROUND(G129*Valores!$C$2,2)</f>
        <v>117954.04</v>
      </c>
      <c r="I129" s="169">
        <v>0</v>
      </c>
      <c r="J129" s="113">
        <f>ROUND(I129*Valores!$C$2,2)</f>
        <v>0</v>
      </c>
      <c r="K129" s="169">
        <v>0</v>
      </c>
      <c r="L129" s="113">
        <f>ROUND(K129*Valores!$C$2,2)</f>
        <v>0</v>
      </c>
      <c r="M129" s="113">
        <f>ROUND(IF($H$2=0,IF(AND(A129&lt;&gt;"13-930",A129&lt;&gt;"13-940"),(SUM(F129,H129,J129,L129,W129,S129,Q129)*Valores!$C$4),0),0),2)</f>
        <v>51072.93</v>
      </c>
      <c r="N129" s="113">
        <f t="shared" si="16"/>
        <v>0</v>
      </c>
      <c r="O129" s="113">
        <f>Valores!C$74</f>
        <v>201666.88</v>
      </c>
      <c r="P129" s="113">
        <f>Valores!$D$5</f>
        <v>49998.43</v>
      </c>
      <c r="Q129" s="113">
        <f>IF($F$4="NO",Valores!$C$22,Valores!$C$22/2)</f>
        <v>32774.300000000003</v>
      </c>
      <c r="R129" s="113">
        <f>Valores!$C$8</f>
        <v>46521.33</v>
      </c>
      <c r="S129" s="113">
        <f t="shared" si="21"/>
        <v>46521.33</v>
      </c>
      <c r="T129" s="113">
        <v>0</v>
      </c>
      <c r="U129" s="113">
        <v>0</v>
      </c>
      <c r="V129" s="169">
        <v>0</v>
      </c>
      <c r="W129" s="113">
        <f>ROUND(V129*Valores!$C$2,2)</f>
        <v>0</v>
      </c>
      <c r="X129" s="113">
        <v>0</v>
      </c>
      <c r="Y129" s="188">
        <v>0</v>
      </c>
      <c r="Z129" s="113">
        <f t="shared" si="17"/>
        <v>0</v>
      </c>
      <c r="AA129" s="169">
        <v>94</v>
      </c>
      <c r="AB129" s="113">
        <f>ROUND(AA129*Valores!$C$2,2)</f>
        <v>9193.76</v>
      </c>
      <c r="AC129" s="113">
        <f>ROUND(IF($F$4="NO",Valores!$C$32,Valores!$C$32/2),2)</f>
        <v>23377.77</v>
      </c>
      <c r="AD129" s="113">
        <f>SUM(F129,H129,J129,L129,M129,N129,O129,P129,Q129,S129,T129,U129,W129,X129,Z129,AB129,AC129)*Valores!$C$58</f>
        <v>53960.146999999997</v>
      </c>
      <c r="AE129" s="113">
        <f t="shared" si="18"/>
        <v>593561.61699999997</v>
      </c>
      <c r="AF129" s="113">
        <f>Valores!$C$11</f>
        <v>36428</v>
      </c>
      <c r="AG129" s="113">
        <f>Valores!$C$59</f>
        <v>25000</v>
      </c>
      <c r="AH129" s="113">
        <f t="shared" si="14"/>
        <v>61428</v>
      </c>
      <c r="AI129" s="113">
        <f>AE129*Valores!$C$39</f>
        <v>-65291.777869999998</v>
      </c>
      <c r="AJ129" s="113">
        <f>IF(AE129&lt;Valores!$E$40,-0.02,IF(AE129&lt;Valores!$F$40,-0.03,-0.04))*AE129</f>
        <v>-11871.23234</v>
      </c>
      <c r="AK129" s="113">
        <f>AE129*Valores!$C$42</f>
        <v>-32645.888934999999</v>
      </c>
      <c r="AL129" s="113">
        <f>Valores!$C$56</f>
        <v>-1270.1600000000001</v>
      </c>
      <c r="AM129" s="113">
        <f>IF($F$5=0,Valores!$C$57,(Valores!$C$57+$F$5*(Valores!$C$57)))</f>
        <v>-7026</v>
      </c>
      <c r="AN129" s="113">
        <f t="shared" si="19"/>
        <v>536884.55785500002</v>
      </c>
      <c r="AO129" s="113">
        <f t="shared" si="13"/>
        <v>-65291.777869999998</v>
      </c>
      <c r="AP129" s="113">
        <f t="shared" si="20"/>
        <v>-11871.23234</v>
      </c>
      <c r="AQ129" s="113">
        <f>AE129*Valores!$C$43</f>
        <v>-16026.163659</v>
      </c>
      <c r="AR129" s="113">
        <f>AE129*Valores!$C$44</f>
        <v>-1780.684851</v>
      </c>
      <c r="AS129" s="113">
        <f t="shared" si="15"/>
        <v>560019.75827999995</v>
      </c>
      <c r="AT129" s="113">
        <f>AE129*Valores!$C$46</f>
        <v>94969.858720000004</v>
      </c>
      <c r="AU129" s="113">
        <f>AE129*Valores!$C$47</f>
        <v>41549.313190000001</v>
      </c>
      <c r="AV129" s="113">
        <f>AE129*Valores!$C$48</f>
        <v>5935.6161700000002</v>
      </c>
      <c r="AW129" s="113">
        <f>AE129*Valores!$C$50</f>
        <v>20774.656595</v>
      </c>
      <c r="AX129" s="113">
        <f>AE129*Valores!$C$52</f>
        <v>32052.327318</v>
      </c>
      <c r="AY129" s="113">
        <f>AE129*Valores!$C$51</f>
        <v>3561.369702</v>
      </c>
      <c r="AZ129" s="114"/>
      <c r="BA129" s="114">
        <v>20</v>
      </c>
      <c r="BB129" s="111" t="s">
        <v>4</v>
      </c>
    </row>
    <row r="130" spans="1:54" s="100" customFormat="1" ht="11.25" customHeight="1" x14ac:dyDescent="0.15">
      <c r="A130" s="111" t="s">
        <v>312</v>
      </c>
      <c r="B130" s="111">
        <v>1</v>
      </c>
      <c r="C130" s="114">
        <v>123</v>
      </c>
      <c r="D130" s="112" t="s">
        <v>313</v>
      </c>
      <c r="E130" s="169">
        <v>61</v>
      </c>
      <c r="F130" s="113">
        <f>ROUND(E130*Valores!$C$2,2)</f>
        <v>5966.17</v>
      </c>
      <c r="G130" s="169">
        <v>1217</v>
      </c>
      <c r="H130" s="113">
        <f>ROUND(G130*Valores!$C$2,2)</f>
        <v>119029.9</v>
      </c>
      <c r="I130" s="169">
        <v>0</v>
      </c>
      <c r="J130" s="113">
        <f>ROUND(I130*Valores!$C$2,2)</f>
        <v>0</v>
      </c>
      <c r="K130" s="169">
        <v>0</v>
      </c>
      <c r="L130" s="113">
        <f>ROUND(K130*Valores!$C$2,2)</f>
        <v>0</v>
      </c>
      <c r="M130" s="113">
        <f>ROUND(IF($H$2=0,IF(AND(A130&lt;&gt;"13-930",A130&lt;&gt;"13-940"),(SUM(F130,H130,J130,L130,W130,S130,Q130)*Valores!$C$4),0),0),2)</f>
        <v>50954.02</v>
      </c>
      <c r="N130" s="113">
        <f t="shared" si="16"/>
        <v>0</v>
      </c>
      <c r="O130" s="113">
        <f>Valores!C$66</f>
        <v>157063.19</v>
      </c>
      <c r="P130" s="113">
        <f>Valores!$D$5</f>
        <v>49998.43</v>
      </c>
      <c r="Q130" s="113">
        <f>IF($F$4="NO",Valores!$C$22,Valores!$C$22/2)</f>
        <v>32774.300000000003</v>
      </c>
      <c r="R130" s="113">
        <f>Valores!$C$9</f>
        <v>46045.69</v>
      </c>
      <c r="S130" s="113">
        <f t="shared" si="21"/>
        <v>46045.69</v>
      </c>
      <c r="T130" s="113">
        <v>0</v>
      </c>
      <c r="U130" s="113">
        <v>0</v>
      </c>
      <c r="V130" s="169">
        <v>0</v>
      </c>
      <c r="W130" s="113">
        <f>ROUND(V130*Valores!$C$2,2)</f>
        <v>0</v>
      </c>
      <c r="X130" s="113">
        <v>0</v>
      </c>
      <c r="Y130" s="188">
        <v>0</v>
      </c>
      <c r="Z130" s="113">
        <f t="shared" si="17"/>
        <v>0</v>
      </c>
      <c r="AA130" s="169">
        <v>0</v>
      </c>
      <c r="AB130" s="113">
        <f>ROUND(AA130*Valores!$C$2,2)</f>
        <v>0</v>
      </c>
      <c r="AC130" s="113">
        <f>ROUND(IF($F$4="NO",Valores!$C$32,Valores!$C$32/2),2)</f>
        <v>23377.77</v>
      </c>
      <c r="AD130" s="113">
        <f>SUM(F130,H130,J130,L130,M130,N130,O130,P130,Q130,S130,T130,U130,W130,X130,Z130,AB130,AC130)*Valores!$C$58</f>
        <v>48520.947000000007</v>
      </c>
      <c r="AE130" s="113">
        <f t="shared" si="18"/>
        <v>533730.41700000002</v>
      </c>
      <c r="AF130" s="113">
        <f>Valores!$C$11</f>
        <v>36428</v>
      </c>
      <c r="AG130" s="113">
        <f>Valores!$C$59</f>
        <v>25000</v>
      </c>
      <c r="AH130" s="113">
        <f t="shared" si="14"/>
        <v>61428</v>
      </c>
      <c r="AI130" s="113">
        <f>AE130*Valores!$C$39</f>
        <v>-58710.345870000005</v>
      </c>
      <c r="AJ130" s="113">
        <f>IF(AE130&lt;Valores!$E$40,-0.02,IF(AE130&lt;Valores!$F$40,-0.03,-0.04))*AE130</f>
        <v>-10674.608340000001</v>
      </c>
      <c r="AK130" s="113">
        <f>AE130*Valores!$C$42</f>
        <v>-29355.172935000002</v>
      </c>
      <c r="AL130" s="113">
        <f>Valores!$C$56</f>
        <v>-1270.1600000000001</v>
      </c>
      <c r="AM130" s="113">
        <f>IF($F$5=0,Valores!$C$57,(Valores!$C$57+$F$5*(Valores!$C$57)))</f>
        <v>-7026</v>
      </c>
      <c r="AN130" s="113">
        <f t="shared" si="19"/>
        <v>488122.12985500001</v>
      </c>
      <c r="AO130" s="113">
        <f t="shared" si="13"/>
        <v>-58710.345870000005</v>
      </c>
      <c r="AP130" s="113">
        <f t="shared" si="20"/>
        <v>-10674.608340000001</v>
      </c>
      <c r="AQ130" s="113">
        <f>AE130*Valores!$C$43</f>
        <v>-14410.721259</v>
      </c>
      <c r="AR130" s="113">
        <f>AE130*Valores!$C$44</f>
        <v>-1601.1912510000002</v>
      </c>
      <c r="AS130" s="113">
        <f t="shared" si="15"/>
        <v>509761.55028000002</v>
      </c>
      <c r="AT130" s="113">
        <f>AE130*Valores!$C$46</f>
        <v>85396.866720000005</v>
      </c>
      <c r="AU130" s="113">
        <f>AE130*Valores!$C$47</f>
        <v>37361.129190000007</v>
      </c>
      <c r="AV130" s="113">
        <f>AE130*Valores!$C$48</f>
        <v>5337.3041700000003</v>
      </c>
      <c r="AW130" s="113">
        <f>AE130*Valores!$C$50</f>
        <v>18680.564595000003</v>
      </c>
      <c r="AX130" s="113">
        <f>AE130*Valores!$C$52</f>
        <v>28821.442518</v>
      </c>
      <c r="AY130" s="113">
        <f>AE130*Valores!$C$51</f>
        <v>3202.3825020000004</v>
      </c>
      <c r="AZ130" s="114"/>
      <c r="BA130" s="114"/>
      <c r="BB130" s="111" t="s">
        <v>8</v>
      </c>
    </row>
    <row r="131" spans="1:54" s="100" customFormat="1" ht="11.25" customHeight="1" x14ac:dyDescent="0.15">
      <c r="A131" s="111" t="s">
        <v>314</v>
      </c>
      <c r="B131" s="111">
        <v>1</v>
      </c>
      <c r="C131" s="114">
        <v>124</v>
      </c>
      <c r="D131" s="112" t="s">
        <v>315</v>
      </c>
      <c r="E131" s="169">
        <v>1278</v>
      </c>
      <c r="F131" s="113">
        <f>ROUND(E131*Valores!$C$2,2)</f>
        <v>124996.07</v>
      </c>
      <c r="G131" s="169">
        <v>0</v>
      </c>
      <c r="H131" s="113">
        <f>ROUND(G131*Valores!$C$2,2)</f>
        <v>0</v>
      </c>
      <c r="I131" s="169">
        <v>0</v>
      </c>
      <c r="J131" s="113">
        <f>ROUND(I131*Valores!$C$2,2)</f>
        <v>0</v>
      </c>
      <c r="K131" s="169">
        <v>0</v>
      </c>
      <c r="L131" s="113">
        <f>ROUND(K131*Valores!$C$2,2)</f>
        <v>0</v>
      </c>
      <c r="M131" s="113">
        <f>ROUND(IF($H$2=0,IF(AND(A131&lt;&gt;"13-930",A131&lt;&gt;"13-940"),(SUM(F131,H131,J131,L131,W131,S131,Q131)*Valores!$C$4),0),0),2)</f>
        <v>51443.24</v>
      </c>
      <c r="N131" s="113">
        <f t="shared" si="16"/>
        <v>0</v>
      </c>
      <c r="O131" s="113">
        <f>Valores!C$74</f>
        <v>201666.88</v>
      </c>
      <c r="P131" s="113">
        <f>Valores!$D$5</f>
        <v>49998.43</v>
      </c>
      <c r="Q131" s="113">
        <f>IF($F$4="NO",Valores!$C$23,Valores!$C$23/2)</f>
        <v>34731.18</v>
      </c>
      <c r="R131" s="113">
        <f>Valores!$C$9</f>
        <v>46045.69</v>
      </c>
      <c r="S131" s="113">
        <f t="shared" si="21"/>
        <v>46045.69</v>
      </c>
      <c r="T131" s="113">
        <v>0</v>
      </c>
      <c r="U131" s="113">
        <v>0</v>
      </c>
      <c r="V131" s="169">
        <v>0</v>
      </c>
      <c r="W131" s="113">
        <f>ROUND(V131*Valores!$C$2,2)</f>
        <v>0</v>
      </c>
      <c r="X131" s="113">
        <v>0</v>
      </c>
      <c r="Y131" s="188">
        <v>0</v>
      </c>
      <c r="Z131" s="113">
        <f t="shared" si="17"/>
        <v>0</v>
      </c>
      <c r="AA131" s="169">
        <v>0</v>
      </c>
      <c r="AB131" s="113">
        <f>ROUND(AA131*Valores!$C$2,2)</f>
        <v>0</v>
      </c>
      <c r="AC131" s="113">
        <f>ROUND(IF($F$4="NO",Valores!$C$32,Valores!$C$32/2),2)</f>
        <v>23377.77</v>
      </c>
      <c r="AD131" s="113">
        <f>SUM(F131,H131,J131,L131,M131,N131,O131,P131,Q131,S131,T131,U131,W131,X131,Z131,AB131,AC131)*Valores!$C$58</f>
        <v>53225.926000000007</v>
      </c>
      <c r="AE131" s="113">
        <f t="shared" si="18"/>
        <v>585485.18599999999</v>
      </c>
      <c r="AF131" s="113">
        <f>Valores!$C$11</f>
        <v>36428</v>
      </c>
      <c r="AG131" s="113">
        <f>Valores!$C$59</f>
        <v>25000</v>
      </c>
      <c r="AH131" s="113">
        <f t="shared" si="14"/>
        <v>61428</v>
      </c>
      <c r="AI131" s="113">
        <f>AE131*Valores!$C$39</f>
        <v>-64403.370459999998</v>
      </c>
      <c r="AJ131" s="113">
        <f>IF(AE131&lt;Valores!$E$40,-0.02,IF(AE131&lt;Valores!$F$40,-0.03,-0.04))*AE131</f>
        <v>-11709.70372</v>
      </c>
      <c r="AK131" s="113">
        <f>AE131*Valores!$C$42</f>
        <v>-32201.685229999999</v>
      </c>
      <c r="AL131" s="113">
        <f>Valores!$C$56</f>
        <v>-1270.1600000000001</v>
      </c>
      <c r="AM131" s="113">
        <f>IF($F$5=0,Valores!$C$57,(Valores!$C$57+$F$5*(Valores!$C$57)))</f>
        <v>-7026</v>
      </c>
      <c r="AN131" s="113">
        <f t="shared" si="19"/>
        <v>530302.26659000001</v>
      </c>
      <c r="AO131" s="113">
        <f t="shared" si="13"/>
        <v>-64403.370459999998</v>
      </c>
      <c r="AP131" s="113">
        <f t="shared" si="20"/>
        <v>-11709.70372</v>
      </c>
      <c r="AQ131" s="113">
        <f>AE131*Valores!$C$43</f>
        <v>-15808.100021999999</v>
      </c>
      <c r="AR131" s="113">
        <f>AE131*Valores!$C$44</f>
        <v>-1756.4555580000001</v>
      </c>
      <c r="AS131" s="113">
        <f t="shared" si="15"/>
        <v>553235.55623999995</v>
      </c>
      <c r="AT131" s="113">
        <f>AE131*Valores!$C$46</f>
        <v>93677.629759999996</v>
      </c>
      <c r="AU131" s="113">
        <f>AE131*Valores!$C$47</f>
        <v>40983.963020000003</v>
      </c>
      <c r="AV131" s="113">
        <f>AE131*Valores!$C$48</f>
        <v>5854.8518599999998</v>
      </c>
      <c r="AW131" s="113">
        <f>AE131*Valores!$C$50</f>
        <v>20491.981510000001</v>
      </c>
      <c r="AX131" s="113">
        <f>AE131*Valores!$C$52</f>
        <v>31616.200043999997</v>
      </c>
      <c r="AY131" s="113">
        <f>AE131*Valores!$C$51</f>
        <v>3512.9111160000002</v>
      </c>
      <c r="AZ131" s="114"/>
      <c r="BA131" s="114">
        <v>22</v>
      </c>
      <c r="BB131" s="111" t="s">
        <v>4</v>
      </c>
    </row>
    <row r="132" spans="1:54" s="100" customFormat="1" ht="11.25" customHeight="1" x14ac:dyDescent="0.15">
      <c r="A132" s="111" t="s">
        <v>316</v>
      </c>
      <c r="B132" s="111">
        <v>1</v>
      </c>
      <c r="C132" s="114">
        <v>125</v>
      </c>
      <c r="D132" s="112" t="s">
        <v>317</v>
      </c>
      <c r="E132" s="169">
        <v>1278</v>
      </c>
      <c r="F132" s="113">
        <f>ROUND(E132*Valores!$C$2,2)</f>
        <v>124996.07</v>
      </c>
      <c r="G132" s="169">
        <v>0</v>
      </c>
      <c r="H132" s="113">
        <f>ROUND(G132*Valores!$C$2,2)</f>
        <v>0</v>
      </c>
      <c r="I132" s="169">
        <v>0</v>
      </c>
      <c r="J132" s="113">
        <f>ROUND(I132*Valores!$C$2,2)</f>
        <v>0</v>
      </c>
      <c r="K132" s="169">
        <v>0</v>
      </c>
      <c r="L132" s="113">
        <f>ROUND(K132*Valores!$C$2,2)</f>
        <v>0</v>
      </c>
      <c r="M132" s="113">
        <f>ROUND(IF($H$2=0,IF(AND(A132&lt;&gt;"13-930",A132&lt;&gt;"13-940"),(SUM(F132,H132,J132,L132,W132,S132,Q132)*Valores!$C$4),0),0),2)</f>
        <v>51562.15</v>
      </c>
      <c r="N132" s="113">
        <f t="shared" si="16"/>
        <v>0</v>
      </c>
      <c r="O132" s="113">
        <f>Valores!C$74</f>
        <v>201666.88</v>
      </c>
      <c r="P132" s="113">
        <f>Valores!$D$5</f>
        <v>49998.43</v>
      </c>
      <c r="Q132" s="113">
        <f>IF($F$4="NO",Valores!$C$23,Valores!$C$23/2)</f>
        <v>34731.18</v>
      </c>
      <c r="R132" s="113">
        <f>Valores!$C$8</f>
        <v>46521.33</v>
      </c>
      <c r="S132" s="113">
        <f t="shared" si="21"/>
        <v>46521.33</v>
      </c>
      <c r="T132" s="113">
        <v>0</v>
      </c>
      <c r="U132" s="113">
        <v>0</v>
      </c>
      <c r="V132" s="169">
        <v>0</v>
      </c>
      <c r="W132" s="113">
        <f>ROUND(V132*Valores!$C$2,2)</f>
        <v>0</v>
      </c>
      <c r="X132" s="113">
        <v>0</v>
      </c>
      <c r="Y132" s="188">
        <v>0</v>
      </c>
      <c r="Z132" s="113">
        <f t="shared" si="17"/>
        <v>0</v>
      </c>
      <c r="AA132" s="169">
        <v>94</v>
      </c>
      <c r="AB132" s="113">
        <f>ROUND(AA132*Valores!$C$2,2)</f>
        <v>9193.76</v>
      </c>
      <c r="AC132" s="113">
        <f>ROUND(IF($F$4="NO",Valores!$C$32,Valores!$C$32/2),2)</f>
        <v>23377.77</v>
      </c>
      <c r="AD132" s="113">
        <f>SUM(F132,H132,J132,L132,M132,N132,O132,P132,Q132,S132,T132,U132,W132,X132,Z132,AB132,AC132)*Valores!$C$58</f>
        <v>54204.756999999998</v>
      </c>
      <c r="AE132" s="113">
        <f t="shared" si="18"/>
        <v>596252.32699999993</v>
      </c>
      <c r="AF132" s="113">
        <f>Valores!$C$11</f>
        <v>36428</v>
      </c>
      <c r="AG132" s="113">
        <f>Valores!$C$59</f>
        <v>25000</v>
      </c>
      <c r="AH132" s="113">
        <f t="shared" si="14"/>
        <v>61428</v>
      </c>
      <c r="AI132" s="113">
        <f>AE132*Valores!$C$39</f>
        <v>-65587.755969999998</v>
      </c>
      <c r="AJ132" s="113">
        <f>IF(AE132&lt;Valores!$E$40,-0.02,IF(AE132&lt;Valores!$F$40,-0.03,-0.04))*AE132</f>
        <v>-11925.046539999999</v>
      </c>
      <c r="AK132" s="113">
        <f>AE132*Valores!$C$42</f>
        <v>-32793.877984999999</v>
      </c>
      <c r="AL132" s="113">
        <f>Valores!$C$56</f>
        <v>-1270.1600000000001</v>
      </c>
      <c r="AM132" s="113">
        <f>IF($F$5=0,Valores!$C$57,(Valores!$C$57+$F$5*(Valores!$C$57)))</f>
        <v>-7026</v>
      </c>
      <c r="AN132" s="113">
        <f t="shared" si="19"/>
        <v>539077.48650499992</v>
      </c>
      <c r="AO132" s="113">
        <f t="shared" si="13"/>
        <v>-65587.755969999998</v>
      </c>
      <c r="AP132" s="113">
        <f t="shared" si="20"/>
        <v>-11925.046539999999</v>
      </c>
      <c r="AQ132" s="113">
        <f>AE132*Valores!$C$43</f>
        <v>-16098.812828999999</v>
      </c>
      <c r="AR132" s="113">
        <f>AE132*Valores!$C$44</f>
        <v>-1788.7569809999998</v>
      </c>
      <c r="AS132" s="113">
        <f t="shared" si="15"/>
        <v>562279.95467999997</v>
      </c>
      <c r="AT132" s="113">
        <f>AE132*Valores!$C$46</f>
        <v>95400.372319999995</v>
      </c>
      <c r="AU132" s="113">
        <f>AE132*Valores!$C$47</f>
        <v>41737.66289</v>
      </c>
      <c r="AV132" s="113">
        <f>AE132*Valores!$C$48</f>
        <v>5962.5232699999997</v>
      </c>
      <c r="AW132" s="113">
        <f>AE132*Valores!$C$50</f>
        <v>20868.831445</v>
      </c>
      <c r="AX132" s="113">
        <f>AE132*Valores!$C$52</f>
        <v>32197.625657999997</v>
      </c>
      <c r="AY132" s="113">
        <f>AE132*Valores!$C$51</f>
        <v>3577.5139619999995</v>
      </c>
      <c r="AZ132" s="114"/>
      <c r="BA132" s="114">
        <v>20</v>
      </c>
      <c r="BB132" s="111" t="s">
        <v>4</v>
      </c>
    </row>
    <row r="133" spans="1:54" s="100" customFormat="1" ht="11.25" customHeight="1" x14ac:dyDescent="0.15">
      <c r="A133" s="111" t="s">
        <v>318</v>
      </c>
      <c r="B133" s="111">
        <v>1</v>
      </c>
      <c r="C133" s="114">
        <v>126</v>
      </c>
      <c r="D133" s="112" t="s">
        <v>319</v>
      </c>
      <c r="E133" s="169">
        <v>936</v>
      </c>
      <c r="F133" s="113">
        <f>ROUND(E133*Valores!$C$2,2)</f>
        <v>91546.42</v>
      </c>
      <c r="G133" s="169">
        <v>0</v>
      </c>
      <c r="H133" s="113">
        <f>ROUND(G133*Valores!$C$2,2)</f>
        <v>0</v>
      </c>
      <c r="I133" s="169">
        <v>0</v>
      </c>
      <c r="J133" s="113">
        <f>ROUND(I133*Valores!$C$2,2)</f>
        <v>0</v>
      </c>
      <c r="K133" s="169">
        <v>0</v>
      </c>
      <c r="L133" s="113">
        <f>ROUND(K133*Valores!$C$2,2)</f>
        <v>0</v>
      </c>
      <c r="M133" s="113">
        <f>ROUND(IF($H$2=0,IF(AND(A133&lt;&gt;"13-930",A133&lt;&gt;"13-940"),(SUM(F133,H133,J133,L133,W133,S133,Q133)*Valores!$C$4),0),0),2)</f>
        <v>42591.6</v>
      </c>
      <c r="N133" s="113">
        <f t="shared" si="16"/>
        <v>0</v>
      </c>
      <c r="O133" s="113">
        <f>Valores!C$73</f>
        <v>198577.36</v>
      </c>
      <c r="P133" s="113">
        <f>Valores!$D$5</f>
        <v>49998.43</v>
      </c>
      <c r="Q133" s="113">
        <f>IF($F$4="NO",Valores!$C$22,Valores!$C$22/2)</f>
        <v>32774.300000000003</v>
      </c>
      <c r="R133" s="113">
        <f>Valores!$C$9</f>
        <v>46045.69</v>
      </c>
      <c r="S133" s="113">
        <f t="shared" si="21"/>
        <v>46045.69</v>
      </c>
      <c r="T133" s="113">
        <v>0</v>
      </c>
      <c r="U133" s="113">
        <v>0</v>
      </c>
      <c r="V133" s="169">
        <v>0</v>
      </c>
      <c r="W133" s="113">
        <f>ROUND(V133*Valores!$C$2,2)</f>
        <v>0</v>
      </c>
      <c r="X133" s="113">
        <v>0</v>
      </c>
      <c r="Y133" s="188">
        <v>0</v>
      </c>
      <c r="Z133" s="113">
        <f t="shared" si="17"/>
        <v>0</v>
      </c>
      <c r="AA133" s="169">
        <v>94</v>
      </c>
      <c r="AB133" s="113">
        <f>ROUND(AA133*Valores!$C$2,2)</f>
        <v>9193.76</v>
      </c>
      <c r="AC133" s="113">
        <f>ROUND(IF($F$4="NO",Valores!$C$32,Valores!$C$32/2),2)</f>
        <v>23377.77</v>
      </c>
      <c r="AD133" s="113">
        <f>SUM(F133,H133,J133,L133,M133,N133,O133,P133,Q133,S133,T133,U133,W133,X133,Z133,AB133,AC133)*Valores!$C$58</f>
        <v>49410.533000000003</v>
      </c>
      <c r="AE133" s="113">
        <f t="shared" si="18"/>
        <v>543515.86300000001</v>
      </c>
      <c r="AF133" s="113">
        <f>Valores!$C$11</f>
        <v>36428</v>
      </c>
      <c r="AG133" s="113">
        <f>Valores!$C$59</f>
        <v>25000</v>
      </c>
      <c r="AH133" s="113">
        <f t="shared" si="14"/>
        <v>61428</v>
      </c>
      <c r="AI133" s="113">
        <f>AE133*Valores!$C$39</f>
        <v>-59786.744930000001</v>
      </c>
      <c r="AJ133" s="113">
        <f>IF(AE133&lt;Valores!$E$40,-0.02,IF(AE133&lt;Valores!$F$40,-0.03,-0.04))*AE133</f>
        <v>-10870.31726</v>
      </c>
      <c r="AK133" s="113">
        <f>AE133*Valores!$C$42</f>
        <v>-29893.372465</v>
      </c>
      <c r="AL133" s="113">
        <f>Valores!$C$56</f>
        <v>-1270.1600000000001</v>
      </c>
      <c r="AM133" s="113">
        <f>IF($F$5=0,Valores!$C$57,(Valores!$C$57+$F$5*(Valores!$C$57)))</f>
        <v>-7026</v>
      </c>
      <c r="AN133" s="113">
        <f t="shared" si="19"/>
        <v>496097.26834499999</v>
      </c>
      <c r="AO133" s="113">
        <f t="shared" si="13"/>
        <v>-59786.744930000001</v>
      </c>
      <c r="AP133" s="113">
        <f t="shared" si="20"/>
        <v>-10870.31726</v>
      </c>
      <c r="AQ133" s="113">
        <f>AE133*Valores!$C$43</f>
        <v>-14674.928301</v>
      </c>
      <c r="AR133" s="113">
        <f>AE133*Valores!$C$44</f>
        <v>-1630.547589</v>
      </c>
      <c r="AS133" s="113">
        <f t="shared" si="15"/>
        <v>517981.32492000004</v>
      </c>
      <c r="AT133" s="113">
        <f>AE133*Valores!$C$46</f>
        <v>86962.538079999998</v>
      </c>
      <c r="AU133" s="113">
        <f>AE133*Valores!$C$47</f>
        <v>38046.110410000001</v>
      </c>
      <c r="AV133" s="113">
        <f>AE133*Valores!$C$48</f>
        <v>5435.1586299999999</v>
      </c>
      <c r="AW133" s="113">
        <f>AE133*Valores!$C$50</f>
        <v>19023.055205000001</v>
      </c>
      <c r="AX133" s="113">
        <f>AE133*Valores!$C$52</f>
        <v>29349.856602</v>
      </c>
      <c r="AY133" s="113">
        <f>AE133*Valores!$C$51</f>
        <v>3261.095178</v>
      </c>
      <c r="AZ133" s="114">
        <v>8</v>
      </c>
      <c r="BA133" s="114"/>
      <c r="BB133" s="111" t="s">
        <v>4</v>
      </c>
    </row>
    <row r="134" spans="1:54" s="100" customFormat="1" ht="11.25" customHeight="1" x14ac:dyDescent="0.15">
      <c r="A134" s="111" t="s">
        <v>320</v>
      </c>
      <c r="B134" s="111">
        <v>1</v>
      </c>
      <c r="C134" s="114">
        <v>127</v>
      </c>
      <c r="D134" s="112" t="s">
        <v>321</v>
      </c>
      <c r="E134" s="169">
        <v>1278</v>
      </c>
      <c r="F134" s="113">
        <f>ROUND(E134*Valores!$C$2,2)</f>
        <v>124996.07</v>
      </c>
      <c r="G134" s="169">
        <v>0</v>
      </c>
      <c r="H134" s="113">
        <f>ROUND(G134*Valores!$C$2,2)</f>
        <v>0</v>
      </c>
      <c r="I134" s="169">
        <v>0</v>
      </c>
      <c r="J134" s="113">
        <f>ROUND(I134*Valores!$C$2,2)</f>
        <v>0</v>
      </c>
      <c r="K134" s="169">
        <v>0</v>
      </c>
      <c r="L134" s="113">
        <f>ROUND(K134*Valores!$C$2,2)</f>
        <v>0</v>
      </c>
      <c r="M134" s="113">
        <f>ROUND(IF($H$2=0,IF(AND(A134&lt;&gt;"13-930",A134&lt;&gt;"13-940"),(SUM(F134,H134,J134,L134,W134,S134,Q134)*Valores!$C$4),0),0),2)</f>
        <v>50954.02</v>
      </c>
      <c r="N134" s="113">
        <f t="shared" si="16"/>
        <v>0</v>
      </c>
      <c r="O134" s="113">
        <f>Valores!C$71</f>
        <v>195131.99</v>
      </c>
      <c r="P134" s="113">
        <f>Valores!$D$5</f>
        <v>49998.43</v>
      </c>
      <c r="Q134" s="113">
        <f>IF($F$4="NO",Valores!$C$22,Valores!$C$22/2)</f>
        <v>32774.300000000003</v>
      </c>
      <c r="R134" s="113">
        <f>Valores!$C$9</f>
        <v>46045.69</v>
      </c>
      <c r="S134" s="113">
        <f t="shared" si="21"/>
        <v>46045.69</v>
      </c>
      <c r="T134" s="113">
        <v>0</v>
      </c>
      <c r="U134" s="113">
        <v>0</v>
      </c>
      <c r="V134" s="169">
        <v>0</v>
      </c>
      <c r="W134" s="113">
        <f>ROUND(V134*Valores!$C$2,2)</f>
        <v>0</v>
      </c>
      <c r="X134" s="113">
        <v>0</v>
      </c>
      <c r="Y134" s="188">
        <v>0</v>
      </c>
      <c r="Z134" s="113">
        <f t="shared" si="17"/>
        <v>0</v>
      </c>
      <c r="AA134" s="169">
        <v>94</v>
      </c>
      <c r="AB134" s="113">
        <f>ROUND(AA134*Valores!$C$2,2)</f>
        <v>9193.76</v>
      </c>
      <c r="AC134" s="113">
        <f>ROUND(IF($F$4="NO",Valores!$C$32,Valores!$C$32/2),2)</f>
        <v>23377.77</v>
      </c>
      <c r="AD134" s="113">
        <f>SUM(F134,H134,J134,L134,M134,N134,O134,P134,Q134,S134,T134,U134,W134,X134,Z134,AB134,AC134)*Valores!$C$58</f>
        <v>53247.202999999994</v>
      </c>
      <c r="AE134" s="113">
        <f t="shared" si="18"/>
        <v>585719.23299999989</v>
      </c>
      <c r="AF134" s="113">
        <f>Valores!$C$11</f>
        <v>36428</v>
      </c>
      <c r="AG134" s="113">
        <f>Valores!$C$59</f>
        <v>25000</v>
      </c>
      <c r="AH134" s="113">
        <f t="shared" si="14"/>
        <v>61428</v>
      </c>
      <c r="AI134" s="113">
        <f>AE134*Valores!$C$39</f>
        <v>-64429.115629999986</v>
      </c>
      <c r="AJ134" s="113">
        <f>IF(AE134&lt;Valores!$E$40,-0.02,IF(AE134&lt;Valores!$F$40,-0.03,-0.04))*AE134</f>
        <v>-11714.384659999998</v>
      </c>
      <c r="AK134" s="113">
        <f>AE134*Valores!$C$42</f>
        <v>-32214.557814999993</v>
      </c>
      <c r="AL134" s="113">
        <f>Valores!$C$56</f>
        <v>-1270.1600000000001</v>
      </c>
      <c r="AM134" s="113">
        <f>IF($F$5=0,Valores!$C$57,(Valores!$C$57+$F$5*(Valores!$C$57)))</f>
        <v>-7026</v>
      </c>
      <c r="AN134" s="113">
        <f t="shared" si="19"/>
        <v>530493.01489499991</v>
      </c>
      <c r="AO134" s="113">
        <f t="shared" ref="AO134:AO196" si="22">AI134</f>
        <v>-64429.115629999986</v>
      </c>
      <c r="AP134" s="113">
        <f t="shared" si="20"/>
        <v>-11714.384659999998</v>
      </c>
      <c r="AQ134" s="113">
        <f>AE134*Valores!$C$43</f>
        <v>-15814.419290999997</v>
      </c>
      <c r="AR134" s="113">
        <f>AE134*Valores!$C$44</f>
        <v>-1757.1576989999996</v>
      </c>
      <c r="AS134" s="113">
        <f t="shared" si="15"/>
        <v>553432.15571999992</v>
      </c>
      <c r="AT134" s="113">
        <f>AE134*Valores!$C$46</f>
        <v>93715.077279999983</v>
      </c>
      <c r="AU134" s="113">
        <f>AE134*Valores!$C$47</f>
        <v>41000.346309999994</v>
      </c>
      <c r="AV134" s="113">
        <f>AE134*Valores!$C$48</f>
        <v>5857.1923299999989</v>
      </c>
      <c r="AW134" s="113">
        <f>AE134*Valores!$C$50</f>
        <v>20500.173154999997</v>
      </c>
      <c r="AX134" s="113">
        <f>AE134*Valores!$C$52</f>
        <v>31628.838581999993</v>
      </c>
      <c r="AY134" s="113">
        <f>AE134*Valores!$C$51</f>
        <v>3514.3153979999993</v>
      </c>
      <c r="AZ134" s="114"/>
      <c r="BA134" s="114">
        <v>22</v>
      </c>
      <c r="BB134" s="111" t="s">
        <v>4</v>
      </c>
    </row>
    <row r="135" spans="1:54" s="100" customFormat="1" ht="11.25" customHeight="1" x14ac:dyDescent="0.15">
      <c r="A135" s="111" t="s">
        <v>322</v>
      </c>
      <c r="B135" s="111">
        <v>1</v>
      </c>
      <c r="C135" s="114">
        <v>128</v>
      </c>
      <c r="D135" s="112" t="s">
        <v>323</v>
      </c>
      <c r="E135" s="169">
        <v>1278</v>
      </c>
      <c r="F135" s="113">
        <f>ROUND(E135*Valores!$C$2,2)</f>
        <v>124996.07</v>
      </c>
      <c r="G135" s="169">
        <v>0</v>
      </c>
      <c r="H135" s="113">
        <f>ROUND(G135*Valores!$C$2,2)</f>
        <v>0</v>
      </c>
      <c r="I135" s="169">
        <v>0</v>
      </c>
      <c r="J135" s="113">
        <f>ROUND(I135*Valores!$C$2,2)</f>
        <v>0</v>
      </c>
      <c r="K135" s="169">
        <v>0</v>
      </c>
      <c r="L135" s="113">
        <f>ROUND(K135*Valores!$C$2,2)</f>
        <v>0</v>
      </c>
      <c r="M135" s="113">
        <f>ROUND(IF($H$2=0,IF(AND(A135&lt;&gt;"13-930",A135&lt;&gt;"13-940"),(SUM(F135,H135,J135,L135,W135,S135,Q135)*Valores!$C$4),0),0),2)</f>
        <v>51562.15</v>
      </c>
      <c r="N135" s="113">
        <f t="shared" si="16"/>
        <v>0</v>
      </c>
      <c r="O135" s="113">
        <f>Valores!C$81</f>
        <v>239735.67999999999</v>
      </c>
      <c r="P135" s="113">
        <f>Valores!$D$5</f>
        <v>49998.43</v>
      </c>
      <c r="Q135" s="113">
        <f>IF($F$4="NO",Valores!$C$23,Valores!$C$23/2)</f>
        <v>34731.18</v>
      </c>
      <c r="R135" s="113">
        <f>Valores!$C$8</f>
        <v>46521.33</v>
      </c>
      <c r="S135" s="113">
        <f t="shared" si="21"/>
        <v>46521.33</v>
      </c>
      <c r="T135" s="113">
        <v>0</v>
      </c>
      <c r="U135" s="113">
        <v>0</v>
      </c>
      <c r="V135" s="169">
        <v>0</v>
      </c>
      <c r="W135" s="113">
        <f>ROUND(V135*Valores!$C$2,2)</f>
        <v>0</v>
      </c>
      <c r="X135" s="113">
        <v>0</v>
      </c>
      <c r="Y135" s="188">
        <v>0</v>
      </c>
      <c r="Z135" s="113">
        <f t="shared" si="17"/>
        <v>0</v>
      </c>
      <c r="AA135" s="169">
        <v>0</v>
      </c>
      <c r="AB135" s="113">
        <f>ROUND(AA135*Valores!$C$2,2)</f>
        <v>0</v>
      </c>
      <c r="AC135" s="113">
        <f>ROUND(IF($F$4="NO",Valores!$C$32,Valores!$C$32/2),2)</f>
        <v>23377.77</v>
      </c>
      <c r="AD135" s="113">
        <f>SUM(F135,H135,J135,L135,M135,N135,O135,P135,Q135,S135,T135,U135,W135,X135,Z135,AB135,AC135)*Valores!$C$58</f>
        <v>57092.260999999999</v>
      </c>
      <c r="AE135" s="113">
        <f t="shared" si="18"/>
        <v>628014.87100000004</v>
      </c>
      <c r="AF135" s="113">
        <f>Valores!$C$11</f>
        <v>36428</v>
      </c>
      <c r="AG135" s="113">
        <f>Valores!$C$59</f>
        <v>25000</v>
      </c>
      <c r="AH135" s="113">
        <f t="shared" si="14"/>
        <v>61428</v>
      </c>
      <c r="AI135" s="113">
        <f>AE135*Valores!$C$39</f>
        <v>-69081.635810000007</v>
      </c>
      <c r="AJ135" s="113">
        <f>IF(AE135&lt;Valores!$E$40,-0.02,IF(AE135&lt;Valores!$F$40,-0.03,-0.04))*AE135</f>
        <v>-12560.297420000001</v>
      </c>
      <c r="AK135" s="113">
        <f>AE135*Valores!$C$42</f>
        <v>-34540.817905000004</v>
      </c>
      <c r="AL135" s="113">
        <f>Valores!$C$56</f>
        <v>-1270.1600000000001</v>
      </c>
      <c r="AM135" s="113">
        <f>IF($F$5=0,Valores!$C$57,(Valores!$C$57+$F$5*(Valores!$C$57)))</f>
        <v>-7026</v>
      </c>
      <c r="AN135" s="113">
        <f t="shared" si="19"/>
        <v>564963.95986499998</v>
      </c>
      <c r="AO135" s="113">
        <f t="shared" si="22"/>
        <v>-69081.635810000007</v>
      </c>
      <c r="AP135" s="113">
        <f t="shared" si="20"/>
        <v>-12560.297420000001</v>
      </c>
      <c r="AQ135" s="113">
        <f>AE135*Valores!$C$43</f>
        <v>-16956.401517000002</v>
      </c>
      <c r="AR135" s="113">
        <f>AE135*Valores!$C$44</f>
        <v>-1884.0446130000003</v>
      </c>
      <c r="AS135" s="113">
        <f t="shared" si="15"/>
        <v>588960.49164000002</v>
      </c>
      <c r="AT135" s="113">
        <f>AE135*Valores!$C$46</f>
        <v>100482.37936000001</v>
      </c>
      <c r="AU135" s="113">
        <f>AE135*Valores!$C$47</f>
        <v>43961.040970000009</v>
      </c>
      <c r="AV135" s="113">
        <f>AE135*Valores!$C$48</f>
        <v>6280.1487100000004</v>
      </c>
      <c r="AW135" s="113">
        <f>AE135*Valores!$C$50</f>
        <v>21980.520485000005</v>
      </c>
      <c r="AX135" s="113">
        <f>AE135*Valores!$C$52</f>
        <v>33912.803034000004</v>
      </c>
      <c r="AY135" s="113">
        <f>AE135*Valores!$C$51</f>
        <v>3768.0892260000005</v>
      </c>
      <c r="AZ135" s="114"/>
      <c r="BA135" s="114"/>
      <c r="BB135" s="111" t="s">
        <v>4</v>
      </c>
    </row>
    <row r="136" spans="1:54" s="100" customFormat="1" ht="11.25" customHeight="1" x14ac:dyDescent="0.15">
      <c r="A136" s="111" t="s">
        <v>324</v>
      </c>
      <c r="B136" s="111">
        <v>1</v>
      </c>
      <c r="C136" s="114">
        <v>129</v>
      </c>
      <c r="D136" s="112" t="s">
        <v>325</v>
      </c>
      <c r="E136" s="169">
        <v>1278</v>
      </c>
      <c r="F136" s="113">
        <f>ROUND(E136*Valores!$C$2,2)</f>
        <v>124996.07</v>
      </c>
      <c r="G136" s="169">
        <v>0</v>
      </c>
      <c r="H136" s="113">
        <f>ROUND(G136*Valores!$C$2,2)</f>
        <v>0</v>
      </c>
      <c r="I136" s="169">
        <v>0</v>
      </c>
      <c r="J136" s="113">
        <f>ROUND(I136*Valores!$C$2,2)</f>
        <v>0</v>
      </c>
      <c r="K136" s="169">
        <v>0</v>
      </c>
      <c r="L136" s="113">
        <f>ROUND(K136*Valores!$C$2,2)</f>
        <v>0</v>
      </c>
      <c r="M136" s="113">
        <f>ROUND(IF($H$2=0,IF(AND(A136&lt;&gt;"13-930",A136&lt;&gt;"13-940"),(SUM(F136,H136,J136,L136,W136,S136,Q136)*Valores!$C$4),0),0),2)</f>
        <v>51562.15</v>
      </c>
      <c r="N136" s="113">
        <f t="shared" si="16"/>
        <v>0</v>
      </c>
      <c r="O136" s="113">
        <f>Valores!C$81</f>
        <v>239735.67999999999</v>
      </c>
      <c r="P136" s="113">
        <f>Valores!$D$5</f>
        <v>49998.43</v>
      </c>
      <c r="Q136" s="113">
        <f>IF($F$4="NO",Valores!$C$23,Valores!$C$23/2)</f>
        <v>34731.18</v>
      </c>
      <c r="R136" s="113">
        <f>Valores!$C$8</f>
        <v>46521.33</v>
      </c>
      <c r="S136" s="113">
        <f t="shared" si="21"/>
        <v>46521.33</v>
      </c>
      <c r="T136" s="113">
        <v>0</v>
      </c>
      <c r="U136" s="113">
        <v>0</v>
      </c>
      <c r="V136" s="169">
        <v>0</v>
      </c>
      <c r="W136" s="113">
        <f>ROUND(V136*Valores!$C$2,2)</f>
        <v>0</v>
      </c>
      <c r="X136" s="113">
        <v>0</v>
      </c>
      <c r="Y136" s="188">
        <v>0</v>
      </c>
      <c r="Z136" s="113">
        <f t="shared" si="17"/>
        <v>0</v>
      </c>
      <c r="AA136" s="169">
        <v>0</v>
      </c>
      <c r="AB136" s="113">
        <f>ROUND(AA136*Valores!$C$2,2)</f>
        <v>0</v>
      </c>
      <c r="AC136" s="113">
        <f>ROUND(IF($F$4="NO",Valores!$C$32,Valores!$C$32/2),2)</f>
        <v>23377.77</v>
      </c>
      <c r="AD136" s="113">
        <f>SUM(F136,H136,J136,L136,M136,N136,O136,P136,Q136,S136,T136,U136,W136,X136,Z136,AB136,AC136)*Valores!$C$58</f>
        <v>57092.260999999999</v>
      </c>
      <c r="AE136" s="113">
        <f t="shared" si="18"/>
        <v>628014.87100000004</v>
      </c>
      <c r="AF136" s="113">
        <f>Valores!$C$11</f>
        <v>36428</v>
      </c>
      <c r="AG136" s="113">
        <f>Valores!$C$59</f>
        <v>25000</v>
      </c>
      <c r="AH136" s="113">
        <f t="shared" ref="AH136:AH199" si="23">SUM(AF136:AG136)</f>
        <v>61428</v>
      </c>
      <c r="AI136" s="113">
        <f>AE136*Valores!$C$39</f>
        <v>-69081.635810000007</v>
      </c>
      <c r="AJ136" s="113">
        <f>IF(AE136&lt;Valores!$E$40,-0.02,IF(AE136&lt;Valores!$F$40,-0.03,-0.04))*AE136</f>
        <v>-12560.297420000001</v>
      </c>
      <c r="AK136" s="113">
        <f>AE136*Valores!$C$42</f>
        <v>-34540.817905000004</v>
      </c>
      <c r="AL136" s="113">
        <f>Valores!$C$56</f>
        <v>-1270.1600000000001</v>
      </c>
      <c r="AM136" s="113">
        <f>IF($F$5=0,Valores!$C$57,(Valores!$C$57+$F$5*(Valores!$C$57)))</f>
        <v>-7026</v>
      </c>
      <c r="AN136" s="113">
        <f t="shared" si="19"/>
        <v>564963.95986499998</v>
      </c>
      <c r="AO136" s="113">
        <f t="shared" si="22"/>
        <v>-69081.635810000007</v>
      </c>
      <c r="AP136" s="113">
        <f t="shared" si="20"/>
        <v>-12560.297420000001</v>
      </c>
      <c r="AQ136" s="113">
        <f>AE136*Valores!$C$43</f>
        <v>-16956.401517000002</v>
      </c>
      <c r="AR136" s="113">
        <f>AE136*Valores!$C$44</f>
        <v>-1884.0446130000003</v>
      </c>
      <c r="AS136" s="113">
        <f t="shared" ref="AS136:AS199" si="24">AE136+AH136+SUM(AO136:AR136)</f>
        <v>588960.49164000002</v>
      </c>
      <c r="AT136" s="113">
        <f>AE136*Valores!$C$46</f>
        <v>100482.37936000001</v>
      </c>
      <c r="AU136" s="113">
        <f>AE136*Valores!$C$47</f>
        <v>43961.040970000009</v>
      </c>
      <c r="AV136" s="113">
        <f>AE136*Valores!$C$48</f>
        <v>6280.1487100000004</v>
      </c>
      <c r="AW136" s="113">
        <f>AE136*Valores!$C$50</f>
        <v>21980.520485000005</v>
      </c>
      <c r="AX136" s="113">
        <f>AE136*Valores!$C$52</f>
        <v>33912.803034000004</v>
      </c>
      <c r="AY136" s="113">
        <f>AE136*Valores!$C$51</f>
        <v>3768.0892260000005</v>
      </c>
      <c r="AZ136" s="114"/>
      <c r="BA136" s="114"/>
      <c r="BB136" s="111" t="s">
        <v>4</v>
      </c>
    </row>
    <row r="137" spans="1:54" s="100" customFormat="1" ht="11.25" customHeight="1" x14ac:dyDescent="0.15">
      <c r="A137" s="111" t="s">
        <v>326</v>
      </c>
      <c r="B137" s="111">
        <v>1</v>
      </c>
      <c r="C137" s="114">
        <v>130</v>
      </c>
      <c r="D137" s="112" t="s">
        <v>327</v>
      </c>
      <c r="E137" s="169">
        <v>1278</v>
      </c>
      <c r="F137" s="113">
        <f>ROUND(E137*Valores!$C$2,2)</f>
        <v>124996.07</v>
      </c>
      <c r="G137" s="169">
        <v>0</v>
      </c>
      <c r="H137" s="113">
        <f>ROUND(G137*Valores!$C$2,2)</f>
        <v>0</v>
      </c>
      <c r="I137" s="169">
        <v>0</v>
      </c>
      <c r="J137" s="113">
        <f>ROUND(I137*Valores!$C$2,2)</f>
        <v>0</v>
      </c>
      <c r="K137" s="169">
        <v>0</v>
      </c>
      <c r="L137" s="113">
        <f>ROUND(K137*Valores!$C$2,2)</f>
        <v>0</v>
      </c>
      <c r="M137" s="113">
        <f>ROUND(IF($H$2=0,IF(AND(A137&lt;&gt;"13-930",A137&lt;&gt;"13-940"),(SUM(F137,H137,J137,L137,W137,S137,Q137)*Valores!$C$4),0),0),2)</f>
        <v>51562.15</v>
      </c>
      <c r="N137" s="113">
        <f t="shared" ref="N137:N200" si="25">ROUND(SUM(F137,H137,J137,L137,W137,Q137)*$H$2,2)</f>
        <v>0</v>
      </c>
      <c r="O137" s="113">
        <f>Valores!C$66</f>
        <v>157063.19</v>
      </c>
      <c r="P137" s="113">
        <f>Valores!$D$5</f>
        <v>49998.43</v>
      </c>
      <c r="Q137" s="113">
        <f>IF($F$4="NO",Valores!$C$23,Valores!$C$23/2)</f>
        <v>34731.18</v>
      </c>
      <c r="R137" s="113">
        <f>Valores!$C$8</f>
        <v>46521.33</v>
      </c>
      <c r="S137" s="113">
        <f t="shared" si="21"/>
        <v>46521.33</v>
      </c>
      <c r="T137" s="113">
        <v>0</v>
      </c>
      <c r="U137" s="113">
        <v>0</v>
      </c>
      <c r="V137" s="169">
        <v>0</v>
      </c>
      <c r="W137" s="113">
        <f>ROUND(V137*Valores!$C$2,2)</f>
        <v>0</v>
      </c>
      <c r="X137" s="113">
        <v>0</v>
      </c>
      <c r="Y137" s="188">
        <v>0</v>
      </c>
      <c r="Z137" s="113">
        <f t="shared" ref="Z137:Z200" si="26">ROUND(SUM(F137,H137,J137,W137,Q137)*Y137,2)</f>
        <v>0</v>
      </c>
      <c r="AA137" s="169">
        <v>0</v>
      </c>
      <c r="AB137" s="113">
        <f>ROUND(AA137*Valores!$C$2,2)</f>
        <v>0</v>
      </c>
      <c r="AC137" s="113">
        <f>ROUND(IF($F$4="NO",Valores!$C$32,Valores!$C$32/2),2)</f>
        <v>23377.77</v>
      </c>
      <c r="AD137" s="113">
        <f>SUM(F137,H137,J137,L137,M137,N137,O137,P137,Q137,S137,T137,U137,W137,X137,Z137,AB137,AC137)*Valores!$C$58</f>
        <v>48825.01200000001</v>
      </c>
      <c r="AE137" s="113">
        <f t="shared" ref="AE137:AE200" si="27">SUM(F137,H137,J137,L137,M137,N137,O137,P137,Q137,S137,T137,U137,W137,X137,Z137,AB137,AC137,AD137)</f>
        <v>537075.1320000001</v>
      </c>
      <c r="AF137" s="113">
        <f>Valores!$C$11</f>
        <v>36428</v>
      </c>
      <c r="AG137" s="113">
        <f>Valores!$C$59</f>
        <v>25000</v>
      </c>
      <c r="AH137" s="113">
        <f t="shared" si="23"/>
        <v>61428</v>
      </c>
      <c r="AI137" s="113">
        <f>AE137*Valores!$C$39</f>
        <v>-59078.264520000012</v>
      </c>
      <c r="AJ137" s="113">
        <f>IF(AE137&lt;Valores!$E$40,-0.02,IF(AE137&lt;Valores!$F$40,-0.03,-0.04))*AE137</f>
        <v>-10741.502640000002</v>
      </c>
      <c r="AK137" s="113">
        <f>AE137*Valores!$C$42</f>
        <v>-29539.132260000006</v>
      </c>
      <c r="AL137" s="113">
        <f>Valores!$C$56</f>
        <v>-1270.1600000000001</v>
      </c>
      <c r="AM137" s="113">
        <f>IF($F$5=0,Valores!$C$57,(Valores!$C$57+$F$5*(Valores!$C$57)))</f>
        <v>-7026</v>
      </c>
      <c r="AN137" s="113">
        <f t="shared" ref="AN137:AN200" si="28">AE137+SUM(AH137:AM137)</f>
        <v>490848.07258000009</v>
      </c>
      <c r="AO137" s="113">
        <f t="shared" si="22"/>
        <v>-59078.264520000012</v>
      </c>
      <c r="AP137" s="113">
        <f t="shared" ref="AP137:AP200" si="29">AJ137</f>
        <v>-10741.502640000002</v>
      </c>
      <c r="AQ137" s="113">
        <f>AE137*Valores!$C$43</f>
        <v>-14501.028564000002</v>
      </c>
      <c r="AR137" s="113">
        <f>AE137*Valores!$C$44</f>
        <v>-1611.2253960000003</v>
      </c>
      <c r="AS137" s="113">
        <f t="shared" si="24"/>
        <v>512571.11088000005</v>
      </c>
      <c r="AT137" s="113">
        <f>AE137*Valores!$C$46</f>
        <v>85932.021120000019</v>
      </c>
      <c r="AU137" s="113">
        <f>AE137*Valores!$C$47</f>
        <v>37595.259240000014</v>
      </c>
      <c r="AV137" s="113">
        <f>AE137*Valores!$C$48</f>
        <v>5370.7513200000012</v>
      </c>
      <c r="AW137" s="113">
        <f>AE137*Valores!$C$50</f>
        <v>18797.629620000007</v>
      </c>
      <c r="AX137" s="113">
        <f>AE137*Valores!$C$52</f>
        <v>29002.057128000004</v>
      </c>
      <c r="AY137" s="113">
        <f>AE137*Valores!$C$51</f>
        <v>3222.4507920000005</v>
      </c>
      <c r="AZ137" s="114">
        <v>12</v>
      </c>
      <c r="BA137" s="114">
        <v>15</v>
      </c>
      <c r="BB137" s="111" t="s">
        <v>8</v>
      </c>
    </row>
    <row r="138" spans="1:54" s="100" customFormat="1" ht="11.25" customHeight="1" x14ac:dyDescent="0.15">
      <c r="A138" s="111" t="s">
        <v>328</v>
      </c>
      <c r="B138" s="111">
        <v>1</v>
      </c>
      <c r="C138" s="114">
        <v>131</v>
      </c>
      <c r="D138" s="112" t="s">
        <v>329</v>
      </c>
      <c r="E138" s="169">
        <v>616</v>
      </c>
      <c r="F138" s="113">
        <f>ROUND(E138*Valores!$C$2,2)</f>
        <v>60248.5</v>
      </c>
      <c r="G138" s="169">
        <v>0</v>
      </c>
      <c r="H138" s="113">
        <f>ROUND(G138*Valores!$C$2,2)</f>
        <v>0</v>
      </c>
      <c r="I138" s="169">
        <v>0</v>
      </c>
      <c r="J138" s="113">
        <f>ROUND(I138*Valores!$C$2,2)</f>
        <v>0</v>
      </c>
      <c r="K138" s="169">
        <v>0</v>
      </c>
      <c r="L138" s="113">
        <f>ROUND(K138*Valores!$C$2,2)</f>
        <v>0</v>
      </c>
      <c r="M138" s="113">
        <f>ROUND(IF($H$2=0,IF(AND(A138&lt;&gt;"13-930",A138&lt;&gt;"13-940"),(SUM(F138,H138,J138,L138,W138,S138,Q138)*Valores!$C$4),0),0),2)</f>
        <v>35375.25</v>
      </c>
      <c r="N138" s="113">
        <f t="shared" si="25"/>
        <v>0</v>
      </c>
      <c r="O138" s="113">
        <f>Valores!C$81</f>
        <v>239735.67999999999</v>
      </c>
      <c r="P138" s="113">
        <f>Valores!$D$5</f>
        <v>49998.43</v>
      </c>
      <c r="Q138" s="113">
        <f>IF($F$4="NO",Valores!$C$23,Valores!$C$23/2)</f>
        <v>34731.18</v>
      </c>
      <c r="R138" s="113">
        <f>Valores!$C$8</f>
        <v>46521.33</v>
      </c>
      <c r="S138" s="113">
        <f t="shared" si="21"/>
        <v>46521.33</v>
      </c>
      <c r="T138" s="113">
        <v>0</v>
      </c>
      <c r="U138" s="113">
        <v>0</v>
      </c>
      <c r="V138" s="169">
        <v>0</v>
      </c>
      <c r="W138" s="113">
        <f>ROUND(V138*Valores!$C$2,2)</f>
        <v>0</v>
      </c>
      <c r="X138" s="113">
        <v>0</v>
      </c>
      <c r="Y138" s="188">
        <v>0</v>
      </c>
      <c r="Z138" s="113">
        <f t="shared" si="26"/>
        <v>0</v>
      </c>
      <c r="AA138" s="169">
        <v>0</v>
      </c>
      <c r="AB138" s="113">
        <f>ROUND(AA138*Valores!$C$2,2)</f>
        <v>0</v>
      </c>
      <c r="AC138" s="113">
        <f>ROUND(IF($F$4="NO",Valores!$C$32,Valores!$C$32/2),2)</f>
        <v>23377.77</v>
      </c>
      <c r="AD138" s="113">
        <f>SUM(F138,H138,J138,L138,M138,N138,O138,P138,Q138,S138,T138,U138,W138,X138,Z138,AB138,AC138)*Valores!$C$58</f>
        <v>48998.814000000006</v>
      </c>
      <c r="AE138" s="113">
        <f t="shared" si="27"/>
        <v>538986.95400000003</v>
      </c>
      <c r="AF138" s="113">
        <f>Valores!$C$11</f>
        <v>36428</v>
      </c>
      <c r="AG138" s="113">
        <f>Valores!$C$59</f>
        <v>25000</v>
      </c>
      <c r="AH138" s="113">
        <f t="shared" si="23"/>
        <v>61428</v>
      </c>
      <c r="AI138" s="113">
        <f>AE138*Valores!$C$39</f>
        <v>-59288.564940000004</v>
      </c>
      <c r="AJ138" s="113">
        <f>IF(AE138&lt;Valores!$E$40,-0.02,IF(AE138&lt;Valores!$F$40,-0.03,-0.04))*AE138</f>
        <v>-10779.739080000001</v>
      </c>
      <c r="AK138" s="113">
        <f>AE138*Valores!$C$42</f>
        <v>-29644.282470000002</v>
      </c>
      <c r="AL138" s="113">
        <f>Valores!$C$56</f>
        <v>-1270.1600000000001</v>
      </c>
      <c r="AM138" s="113">
        <f>IF($F$5=0,Valores!$C$57,(Valores!$C$57+$F$5*(Valores!$C$57)))</f>
        <v>-7026</v>
      </c>
      <c r="AN138" s="113">
        <f t="shared" si="28"/>
        <v>492406.20751000004</v>
      </c>
      <c r="AO138" s="113">
        <f t="shared" si="22"/>
        <v>-59288.564940000004</v>
      </c>
      <c r="AP138" s="113">
        <f t="shared" si="29"/>
        <v>-10779.739080000001</v>
      </c>
      <c r="AQ138" s="113">
        <f>AE138*Valores!$C$43</f>
        <v>-14552.647758000001</v>
      </c>
      <c r="AR138" s="113">
        <f>AE138*Valores!$C$44</f>
        <v>-1616.9608620000001</v>
      </c>
      <c r="AS138" s="113">
        <f t="shared" si="24"/>
        <v>514177.04136000003</v>
      </c>
      <c r="AT138" s="113">
        <f>AE138*Valores!$C$46</f>
        <v>86237.91264000001</v>
      </c>
      <c r="AU138" s="113">
        <f>AE138*Valores!$C$47</f>
        <v>37729.086780000005</v>
      </c>
      <c r="AV138" s="113">
        <f>AE138*Valores!$C$48</f>
        <v>5389.8695400000006</v>
      </c>
      <c r="AW138" s="113">
        <f>AE138*Valores!$C$50</f>
        <v>18864.543390000003</v>
      </c>
      <c r="AX138" s="113">
        <f>AE138*Valores!$C$52</f>
        <v>29105.295516000002</v>
      </c>
      <c r="AY138" s="113">
        <f>AE138*Valores!$C$51</f>
        <v>3233.9217240000003</v>
      </c>
      <c r="AZ138" s="114">
        <v>6</v>
      </c>
      <c r="BA138" s="114"/>
      <c r="BB138" s="111" t="s">
        <v>4</v>
      </c>
    </row>
    <row r="139" spans="1:54" s="100" customFormat="1" ht="11.25" customHeight="1" x14ac:dyDescent="0.15">
      <c r="A139" s="111" t="s">
        <v>330</v>
      </c>
      <c r="B139" s="111">
        <v>1</v>
      </c>
      <c r="C139" s="114">
        <v>132</v>
      </c>
      <c r="D139" s="112" t="s">
        <v>331</v>
      </c>
      <c r="E139" s="169">
        <v>1278</v>
      </c>
      <c r="F139" s="113">
        <f>ROUND(E139*Valores!$C$2,2)</f>
        <v>124996.07</v>
      </c>
      <c r="G139" s="169">
        <v>0</v>
      </c>
      <c r="H139" s="113">
        <f>ROUND(G139*Valores!$C$2,2)</f>
        <v>0</v>
      </c>
      <c r="I139" s="169">
        <v>0</v>
      </c>
      <c r="J139" s="113">
        <f>ROUND(I139*Valores!$C$2,2)</f>
        <v>0</v>
      </c>
      <c r="K139" s="169">
        <v>0</v>
      </c>
      <c r="L139" s="113">
        <f>ROUND(K139*Valores!$C$2,2)</f>
        <v>0</v>
      </c>
      <c r="M139" s="113">
        <f>ROUND(IF($H$2=0,IF(AND(A139&lt;&gt;"13-930",A139&lt;&gt;"13-940"),(SUM(F139,H139,J139,L139,W139,S139,Q139)*Valores!$C$4),0),0),2)</f>
        <v>51443.24</v>
      </c>
      <c r="N139" s="113">
        <f t="shared" si="25"/>
        <v>0</v>
      </c>
      <c r="O139" s="113">
        <f>Valores!C$66</f>
        <v>157063.19</v>
      </c>
      <c r="P139" s="113">
        <f>Valores!$D$5</f>
        <v>49998.43</v>
      </c>
      <c r="Q139" s="113">
        <f>IF($F$4="NO",Valores!$C$23,Valores!$C$23/2)</f>
        <v>34731.18</v>
      </c>
      <c r="R139" s="113">
        <f>Valores!$C$9</f>
        <v>46045.69</v>
      </c>
      <c r="S139" s="113">
        <f t="shared" ref="S139:S202" si="30">ROUND(R139*(1+$H$2),2)</f>
        <v>46045.69</v>
      </c>
      <c r="T139" s="113">
        <v>0</v>
      </c>
      <c r="U139" s="113">
        <v>0</v>
      </c>
      <c r="V139" s="169">
        <v>0</v>
      </c>
      <c r="W139" s="113">
        <f>ROUND(V139*Valores!$C$2,2)</f>
        <v>0</v>
      </c>
      <c r="X139" s="113">
        <v>0</v>
      </c>
      <c r="Y139" s="188">
        <v>0</v>
      </c>
      <c r="Z139" s="113">
        <f t="shared" si="26"/>
        <v>0</v>
      </c>
      <c r="AA139" s="169">
        <v>0</v>
      </c>
      <c r="AB139" s="113">
        <f>ROUND(AA139*Valores!$C$2,2)</f>
        <v>0</v>
      </c>
      <c r="AC139" s="113">
        <f>ROUND(IF($F$4="NO",Valores!$C$32,Valores!$C$32/2),2)</f>
        <v>23377.77</v>
      </c>
      <c r="AD139" s="113">
        <f>SUM(F139,H139,J139,L139,M139,N139,O139,P139,Q139,S139,T139,U139,W139,X139,Z139,AB139,AC139)*Valores!$C$58</f>
        <v>48765.557000000001</v>
      </c>
      <c r="AE139" s="113">
        <f t="shared" si="27"/>
        <v>536421.12699999998</v>
      </c>
      <c r="AF139" s="113">
        <f>Valores!$C$11</f>
        <v>36428</v>
      </c>
      <c r="AG139" s="113">
        <f>Valores!$C$59</f>
        <v>25000</v>
      </c>
      <c r="AH139" s="113">
        <f t="shared" si="23"/>
        <v>61428</v>
      </c>
      <c r="AI139" s="113">
        <f>AE139*Valores!$C$39</f>
        <v>-59006.323969999998</v>
      </c>
      <c r="AJ139" s="113">
        <f>IF(AE139&lt;Valores!$E$40,-0.02,IF(AE139&lt;Valores!$F$40,-0.03,-0.04))*AE139</f>
        <v>-10728.42254</v>
      </c>
      <c r="AK139" s="113">
        <f>AE139*Valores!$C$42</f>
        <v>-29503.161984999999</v>
      </c>
      <c r="AL139" s="113">
        <f>Valores!$C$56</f>
        <v>-1270.1600000000001</v>
      </c>
      <c r="AM139" s="113">
        <f>IF($F$5=0,Valores!$C$57,(Valores!$C$57+$F$5*(Valores!$C$57)))</f>
        <v>-7026</v>
      </c>
      <c r="AN139" s="113">
        <f t="shared" si="28"/>
        <v>490315.05850499996</v>
      </c>
      <c r="AO139" s="113">
        <f t="shared" si="22"/>
        <v>-59006.323969999998</v>
      </c>
      <c r="AP139" s="113">
        <f t="shared" si="29"/>
        <v>-10728.42254</v>
      </c>
      <c r="AQ139" s="113">
        <f>AE139*Valores!$C$43</f>
        <v>-14483.370428999999</v>
      </c>
      <c r="AR139" s="113">
        <f>AE139*Valores!$C$44</f>
        <v>-1609.263381</v>
      </c>
      <c r="AS139" s="113">
        <f t="shared" si="24"/>
        <v>512021.74667999998</v>
      </c>
      <c r="AT139" s="113">
        <f>AE139*Valores!$C$46</f>
        <v>85827.380319999997</v>
      </c>
      <c r="AU139" s="113">
        <f>AE139*Valores!$C$47</f>
        <v>37549.478889999999</v>
      </c>
      <c r="AV139" s="113">
        <f>AE139*Valores!$C$48</f>
        <v>5364.2112699999998</v>
      </c>
      <c r="AW139" s="113">
        <f>AE139*Valores!$C$50</f>
        <v>18774.739444999999</v>
      </c>
      <c r="AX139" s="113">
        <f>AE139*Valores!$C$52</f>
        <v>28966.740857999997</v>
      </c>
      <c r="AY139" s="113">
        <f>AE139*Valores!$C$51</f>
        <v>3218.526762</v>
      </c>
      <c r="AZ139" s="114">
        <v>12</v>
      </c>
      <c r="BA139" s="114">
        <v>15</v>
      </c>
      <c r="BB139" s="111" t="s">
        <v>4</v>
      </c>
    </row>
    <row r="140" spans="1:54" s="100" customFormat="1" ht="11.25" customHeight="1" x14ac:dyDescent="0.15">
      <c r="A140" s="111" t="s">
        <v>332</v>
      </c>
      <c r="B140" s="111">
        <v>1</v>
      </c>
      <c r="C140" s="114">
        <v>133</v>
      </c>
      <c r="D140" s="112" t="s">
        <v>333</v>
      </c>
      <c r="E140" s="169">
        <v>1983</v>
      </c>
      <c r="F140" s="113">
        <f>ROUND(E140*Valores!$C$2,2)</f>
        <v>193949.3</v>
      </c>
      <c r="G140" s="169">
        <v>0</v>
      </c>
      <c r="H140" s="113">
        <f>ROUND(G140*Valores!$C$2,2)</f>
        <v>0</v>
      </c>
      <c r="I140" s="169">
        <v>0</v>
      </c>
      <c r="J140" s="113">
        <f>ROUND(I140*Valores!$C$2,2)</f>
        <v>0</v>
      </c>
      <c r="K140" s="169">
        <v>0</v>
      </c>
      <c r="L140" s="113">
        <f>ROUND(K140*Valores!$C$2,2)</f>
        <v>0</v>
      </c>
      <c r="M140" s="113">
        <f>ROUND(IF($H$2=0,IF(AND(A140&lt;&gt;"13-930",A140&lt;&gt;"13-940"),(SUM(F140,H140,J140,L140,W140,S140,Q140)*Valores!$C$4),0),0),2)</f>
        <v>68800.45</v>
      </c>
      <c r="N140" s="113">
        <f t="shared" si="25"/>
        <v>0</v>
      </c>
      <c r="O140" s="113">
        <f>Valores!C$81</f>
        <v>239735.67999999999</v>
      </c>
      <c r="P140" s="113">
        <f>Valores!$D$5</f>
        <v>49998.43</v>
      </c>
      <c r="Q140" s="113">
        <f>IF($F$4="NO",Valores!$C$23,Valores!$C$23/2)</f>
        <v>34731.18</v>
      </c>
      <c r="R140" s="113">
        <f>Valores!$C$8</f>
        <v>46521.33</v>
      </c>
      <c r="S140" s="113">
        <f t="shared" si="30"/>
        <v>46521.33</v>
      </c>
      <c r="T140" s="113">
        <v>0</v>
      </c>
      <c r="U140" s="113">
        <v>0</v>
      </c>
      <c r="V140" s="169">
        <v>0</v>
      </c>
      <c r="W140" s="113">
        <f>ROUND(V140*Valores!$C$2,2)</f>
        <v>0</v>
      </c>
      <c r="X140" s="113">
        <v>0</v>
      </c>
      <c r="Y140" s="188">
        <v>0</v>
      </c>
      <c r="Z140" s="113">
        <f t="shared" si="26"/>
        <v>0</v>
      </c>
      <c r="AA140" s="169">
        <v>94</v>
      </c>
      <c r="AB140" s="113">
        <f>ROUND(AA140*Valores!$C$2,2)</f>
        <v>9193.76</v>
      </c>
      <c r="AC140" s="113">
        <f>ROUND(IF($F$4="NO",Valores!$C$32,Valores!$C$32/2),2)</f>
        <v>23377.77</v>
      </c>
      <c r="AD140" s="113">
        <f>SUM(F140,H140,J140,L140,M140,N140,O140,P140,Q140,S140,T140,U140,W140,X140,Z140,AB140,AC140)*Valores!$C$58</f>
        <v>66630.790000000008</v>
      </c>
      <c r="AE140" s="113">
        <f t="shared" si="27"/>
        <v>732938.69000000006</v>
      </c>
      <c r="AF140" s="113">
        <f>Valores!$C$11</f>
        <v>36428</v>
      </c>
      <c r="AG140" s="113">
        <f>Valores!$C$59</f>
        <v>25000</v>
      </c>
      <c r="AH140" s="113">
        <f t="shared" si="23"/>
        <v>61428</v>
      </c>
      <c r="AI140" s="113">
        <f>AE140*Valores!$C$39</f>
        <v>-80623.255900000004</v>
      </c>
      <c r="AJ140" s="113">
        <f>IF(AE140&lt;Valores!$E$40,-0.02,IF(AE140&lt;Valores!$F$40,-0.03,-0.04))*AE140</f>
        <v>-14658.773800000001</v>
      </c>
      <c r="AK140" s="113">
        <f>AE140*Valores!$C$42</f>
        <v>-40311.627950000002</v>
      </c>
      <c r="AL140" s="113">
        <f>Valores!$C$56</f>
        <v>-1270.1600000000001</v>
      </c>
      <c r="AM140" s="113">
        <f>IF($F$5=0,Valores!$C$57,(Valores!$C$57+$F$5*(Valores!$C$57)))</f>
        <v>-7026</v>
      </c>
      <c r="AN140" s="113">
        <f t="shared" si="28"/>
        <v>650476.87235000008</v>
      </c>
      <c r="AO140" s="113">
        <f t="shared" si="22"/>
        <v>-80623.255900000004</v>
      </c>
      <c r="AP140" s="113">
        <f t="shared" si="29"/>
        <v>-14658.773800000001</v>
      </c>
      <c r="AQ140" s="113">
        <f>AE140*Valores!$C$43</f>
        <v>-19789.34463</v>
      </c>
      <c r="AR140" s="113">
        <f>AE140*Valores!$C$44</f>
        <v>-2198.8160700000003</v>
      </c>
      <c r="AS140" s="113">
        <f t="shared" si="24"/>
        <v>677096.4996000001</v>
      </c>
      <c r="AT140" s="113">
        <f>AE140*Valores!$C$46</f>
        <v>117270.19040000001</v>
      </c>
      <c r="AU140" s="113">
        <f>AE140*Valores!$C$47</f>
        <v>51305.708300000006</v>
      </c>
      <c r="AV140" s="113">
        <f>AE140*Valores!$C$48</f>
        <v>7329.3869000000004</v>
      </c>
      <c r="AW140" s="113">
        <f>AE140*Valores!$C$50</f>
        <v>25652.854150000003</v>
      </c>
      <c r="AX140" s="113">
        <f>AE140*Valores!$C$52</f>
        <v>39578.689259999999</v>
      </c>
      <c r="AY140" s="113">
        <f>AE140*Valores!$C$51</f>
        <v>4397.6321400000006</v>
      </c>
      <c r="AZ140" s="114"/>
      <c r="BA140" s="114"/>
      <c r="BB140" s="111" t="s">
        <v>8</v>
      </c>
    </row>
    <row r="141" spans="1:54" s="100" customFormat="1" ht="11.25" customHeight="1" x14ac:dyDescent="0.15">
      <c r="A141" s="111" t="s">
        <v>334</v>
      </c>
      <c r="B141" s="111">
        <v>1</v>
      </c>
      <c r="C141" s="114">
        <v>134</v>
      </c>
      <c r="D141" s="112" t="s">
        <v>335</v>
      </c>
      <c r="E141" s="169">
        <v>1378</v>
      </c>
      <c r="F141" s="113">
        <f>ROUND(E141*Valores!$C$2,2)</f>
        <v>134776.67000000001</v>
      </c>
      <c r="G141" s="169">
        <v>0</v>
      </c>
      <c r="H141" s="113">
        <f>ROUND(G141*Valores!$C$2,2)</f>
        <v>0</v>
      </c>
      <c r="I141" s="169">
        <v>0</v>
      </c>
      <c r="J141" s="113">
        <f>ROUND(I141*Valores!$C$2,2)</f>
        <v>0</v>
      </c>
      <c r="K141" s="169">
        <v>0</v>
      </c>
      <c r="L141" s="113">
        <f>ROUND(K141*Valores!$C$2,2)</f>
        <v>0</v>
      </c>
      <c r="M141" s="113">
        <f>ROUND(IF($H$2=0,IF(AND(A141&lt;&gt;"13-930",A141&lt;&gt;"13-940"),(SUM(F141,H141,J141,L141,W141,S141,Q141)*Valores!$C$4),0),0),2)</f>
        <v>53888.39</v>
      </c>
      <c r="N141" s="113">
        <f t="shared" si="25"/>
        <v>0</v>
      </c>
      <c r="O141" s="113">
        <f>Valores!C$74</f>
        <v>201666.88</v>
      </c>
      <c r="P141" s="113">
        <f>Valores!$D$5</f>
        <v>49998.43</v>
      </c>
      <c r="Q141" s="113">
        <f>IF($F$4="NO",Valores!$C$23,Valores!$C$23/2)</f>
        <v>34731.18</v>
      </c>
      <c r="R141" s="113">
        <f>Valores!$C$9</f>
        <v>46045.69</v>
      </c>
      <c r="S141" s="113">
        <f t="shared" si="30"/>
        <v>46045.69</v>
      </c>
      <c r="T141" s="113">
        <v>0</v>
      </c>
      <c r="U141" s="113">
        <v>0</v>
      </c>
      <c r="V141" s="169">
        <v>0</v>
      </c>
      <c r="W141" s="113">
        <f>ROUND(V141*Valores!$C$2,2)</f>
        <v>0</v>
      </c>
      <c r="X141" s="113">
        <v>0</v>
      </c>
      <c r="Y141" s="188">
        <v>0</v>
      </c>
      <c r="Z141" s="113">
        <f t="shared" si="26"/>
        <v>0</v>
      </c>
      <c r="AA141" s="169">
        <v>0</v>
      </c>
      <c r="AB141" s="113">
        <f>ROUND(AA141*Valores!$C$2,2)</f>
        <v>0</v>
      </c>
      <c r="AC141" s="113">
        <f>ROUND(IF($F$4="NO",Valores!$C$32,Valores!$C$32/2),2)</f>
        <v>23377.77</v>
      </c>
      <c r="AD141" s="113">
        <f>SUM(F141,H141,J141,L141,M141,N141,O141,P141,Q141,S141,T141,U141,W141,X141,Z141,AB141,AC141)*Valores!$C$58</f>
        <v>54448.501000000004</v>
      </c>
      <c r="AE141" s="113">
        <f t="shared" si="27"/>
        <v>598933.51100000006</v>
      </c>
      <c r="AF141" s="113">
        <f>Valores!$C$11</f>
        <v>36428</v>
      </c>
      <c r="AG141" s="113">
        <f>Valores!$C$59</f>
        <v>25000</v>
      </c>
      <c r="AH141" s="113">
        <f t="shared" si="23"/>
        <v>61428</v>
      </c>
      <c r="AI141" s="113">
        <f>AE141*Valores!$C$39</f>
        <v>-65882.68621</v>
      </c>
      <c r="AJ141" s="113">
        <f>IF(AE141&lt;Valores!$E$40,-0.02,IF(AE141&lt;Valores!$F$40,-0.03,-0.04))*AE141</f>
        <v>-11978.670220000002</v>
      </c>
      <c r="AK141" s="113">
        <f>AE141*Valores!$C$42</f>
        <v>-32941.343105</v>
      </c>
      <c r="AL141" s="113">
        <f>Valores!$C$56</f>
        <v>-1270.1600000000001</v>
      </c>
      <c r="AM141" s="113">
        <f>IF($F$5=0,Valores!$C$57,(Valores!$C$57+$F$5*(Valores!$C$57)))</f>
        <v>-7026</v>
      </c>
      <c r="AN141" s="113">
        <f t="shared" si="28"/>
        <v>541262.651465</v>
      </c>
      <c r="AO141" s="113">
        <f t="shared" si="22"/>
        <v>-65882.68621</v>
      </c>
      <c r="AP141" s="113">
        <f t="shared" si="29"/>
        <v>-11978.670220000002</v>
      </c>
      <c r="AQ141" s="113">
        <f>AE141*Valores!$C$43</f>
        <v>-16171.204797000002</v>
      </c>
      <c r="AR141" s="113">
        <f>AE141*Valores!$C$44</f>
        <v>-1796.8005330000003</v>
      </c>
      <c r="AS141" s="113">
        <f t="shared" si="24"/>
        <v>564532.14924000006</v>
      </c>
      <c r="AT141" s="113">
        <f>AE141*Valores!$C$46</f>
        <v>95829.361760000014</v>
      </c>
      <c r="AU141" s="113">
        <f>AE141*Valores!$C$47</f>
        <v>41925.345770000007</v>
      </c>
      <c r="AV141" s="113">
        <f>AE141*Valores!$C$48</f>
        <v>5989.3351100000009</v>
      </c>
      <c r="AW141" s="113">
        <f>AE141*Valores!$C$50</f>
        <v>20962.672885000004</v>
      </c>
      <c r="AX141" s="113">
        <f>AE141*Valores!$C$52</f>
        <v>32342.409594000004</v>
      </c>
      <c r="AY141" s="113">
        <f>AE141*Valores!$C$51</f>
        <v>3593.6010660000006</v>
      </c>
      <c r="AZ141" s="114"/>
      <c r="BA141" s="114">
        <v>22</v>
      </c>
      <c r="BB141" s="111" t="s">
        <v>4</v>
      </c>
    </row>
    <row r="142" spans="1:54" s="100" customFormat="1" ht="11.25" customHeight="1" x14ac:dyDescent="0.15">
      <c r="A142" s="111" t="s">
        <v>336</v>
      </c>
      <c r="B142" s="111">
        <v>1</v>
      </c>
      <c r="C142" s="114">
        <v>135</v>
      </c>
      <c r="D142" s="112" t="s">
        <v>337</v>
      </c>
      <c r="E142" s="169">
        <v>1278</v>
      </c>
      <c r="F142" s="113">
        <f>ROUND(E142*Valores!$C$2,2)</f>
        <v>124996.07</v>
      </c>
      <c r="G142" s="169">
        <v>0</v>
      </c>
      <c r="H142" s="113">
        <f>ROUND(G142*Valores!$C$2,2)</f>
        <v>0</v>
      </c>
      <c r="I142" s="169">
        <v>0</v>
      </c>
      <c r="J142" s="113">
        <f>ROUND(I142*Valores!$C$2,2)</f>
        <v>0</v>
      </c>
      <c r="K142" s="169">
        <v>0</v>
      </c>
      <c r="L142" s="113">
        <f>ROUND(K142*Valores!$C$2,2)</f>
        <v>0</v>
      </c>
      <c r="M142" s="113">
        <f>ROUND(IF($H$2=0,IF(AND(A142&lt;&gt;"13-930",A142&lt;&gt;"13-940"),(SUM(F142,H142,J142,L142,W142,S142,Q142)*Valores!$C$4),0),0),2)</f>
        <v>51562.15</v>
      </c>
      <c r="N142" s="113">
        <f t="shared" si="25"/>
        <v>0</v>
      </c>
      <c r="O142" s="113">
        <f>Valores!C$74</f>
        <v>201666.88</v>
      </c>
      <c r="P142" s="113">
        <f>Valores!$D$5</f>
        <v>49998.43</v>
      </c>
      <c r="Q142" s="113">
        <f>IF($F$4="NO",Valores!$C$23,Valores!$C$23/2)</f>
        <v>34731.18</v>
      </c>
      <c r="R142" s="113">
        <f>Valores!$C$8</f>
        <v>46521.33</v>
      </c>
      <c r="S142" s="113">
        <f t="shared" si="30"/>
        <v>46521.33</v>
      </c>
      <c r="T142" s="113">
        <v>0</v>
      </c>
      <c r="U142" s="113">
        <v>0</v>
      </c>
      <c r="V142" s="169">
        <v>0</v>
      </c>
      <c r="W142" s="113">
        <f>ROUND(V142*Valores!$C$2,2)</f>
        <v>0</v>
      </c>
      <c r="X142" s="113">
        <v>0</v>
      </c>
      <c r="Y142" s="188">
        <v>0</v>
      </c>
      <c r="Z142" s="113">
        <f t="shared" si="26"/>
        <v>0</v>
      </c>
      <c r="AA142" s="169">
        <v>0</v>
      </c>
      <c r="AB142" s="113">
        <f>ROUND(AA142*Valores!$C$2,2)</f>
        <v>0</v>
      </c>
      <c r="AC142" s="113">
        <f>ROUND(IF($F$4="NO",Valores!$C$32,Valores!$C$32/2),2)</f>
        <v>23377.77</v>
      </c>
      <c r="AD142" s="113">
        <f>SUM(F142,H142,J142,L142,M142,N142,O142,P142,Q142,S142,T142,U142,W142,X142,Z142,AB142,AC142)*Valores!$C$58</f>
        <v>53285.380999999994</v>
      </c>
      <c r="AE142" s="113">
        <f t="shared" si="27"/>
        <v>586139.19099999988</v>
      </c>
      <c r="AF142" s="113">
        <f>Valores!$C$11</f>
        <v>36428</v>
      </c>
      <c r="AG142" s="113">
        <f>Valores!$C$59</f>
        <v>25000</v>
      </c>
      <c r="AH142" s="113">
        <f t="shared" si="23"/>
        <v>61428</v>
      </c>
      <c r="AI142" s="113">
        <f>AE142*Valores!$C$39</f>
        <v>-64475.311009999983</v>
      </c>
      <c r="AJ142" s="113">
        <f>IF(AE142&lt;Valores!$E$40,-0.02,IF(AE142&lt;Valores!$F$40,-0.03,-0.04))*AE142</f>
        <v>-11722.783819999997</v>
      </c>
      <c r="AK142" s="113">
        <f>AE142*Valores!$C$42</f>
        <v>-32237.655504999992</v>
      </c>
      <c r="AL142" s="113">
        <f>Valores!$C$56</f>
        <v>-1270.1600000000001</v>
      </c>
      <c r="AM142" s="113">
        <f>IF($F$5=0,Valores!$C$57,(Valores!$C$57+$F$5*(Valores!$C$57)))</f>
        <v>-7026</v>
      </c>
      <c r="AN142" s="113">
        <f t="shared" si="28"/>
        <v>530835.28066499985</v>
      </c>
      <c r="AO142" s="113">
        <f t="shared" si="22"/>
        <v>-64475.311009999983</v>
      </c>
      <c r="AP142" s="113">
        <f t="shared" si="29"/>
        <v>-11722.783819999997</v>
      </c>
      <c r="AQ142" s="113">
        <f>AE142*Valores!$C$43</f>
        <v>-15825.758156999997</v>
      </c>
      <c r="AR142" s="113">
        <f>AE142*Valores!$C$44</f>
        <v>-1758.4175729999997</v>
      </c>
      <c r="AS142" s="113">
        <f t="shared" si="24"/>
        <v>553784.9204399999</v>
      </c>
      <c r="AT142" s="113">
        <f>AE142*Valores!$C$46</f>
        <v>93782.270559999975</v>
      </c>
      <c r="AU142" s="113">
        <f>AE142*Valores!$C$47</f>
        <v>41029.743369999997</v>
      </c>
      <c r="AV142" s="113">
        <f>AE142*Valores!$C$48</f>
        <v>5861.3919099999985</v>
      </c>
      <c r="AW142" s="113">
        <f>AE142*Valores!$C$50</f>
        <v>20514.871684999998</v>
      </c>
      <c r="AX142" s="113">
        <f>AE142*Valores!$C$52</f>
        <v>31651.516313999993</v>
      </c>
      <c r="AY142" s="113">
        <f>AE142*Valores!$C$51</f>
        <v>3516.8351459999994</v>
      </c>
      <c r="AZ142" s="114"/>
      <c r="BA142" s="114">
        <v>22</v>
      </c>
      <c r="BB142" s="111" t="s">
        <v>4</v>
      </c>
    </row>
    <row r="143" spans="1:54" s="100" customFormat="1" ht="11.25" customHeight="1" x14ac:dyDescent="0.15">
      <c r="A143" s="111" t="s">
        <v>338</v>
      </c>
      <c r="B143" s="111">
        <v>1</v>
      </c>
      <c r="C143" s="114">
        <v>136</v>
      </c>
      <c r="D143" s="112" t="s">
        <v>339</v>
      </c>
      <c r="E143" s="169">
        <v>1278</v>
      </c>
      <c r="F143" s="113">
        <f>ROUND(E143*Valores!$C$2,2)</f>
        <v>124996.07</v>
      </c>
      <c r="G143" s="169">
        <v>0</v>
      </c>
      <c r="H143" s="113">
        <f>ROUND(G143*Valores!$C$2,2)</f>
        <v>0</v>
      </c>
      <c r="I143" s="169">
        <v>0</v>
      </c>
      <c r="J143" s="113">
        <f>ROUND(I143*Valores!$C$2,2)</f>
        <v>0</v>
      </c>
      <c r="K143" s="169">
        <v>0</v>
      </c>
      <c r="L143" s="113">
        <f>ROUND(K143*Valores!$C$2,2)</f>
        <v>0</v>
      </c>
      <c r="M143" s="113">
        <f>ROUND(IF($H$2=0,IF(AND(A143&lt;&gt;"13-930",A143&lt;&gt;"13-940"),(SUM(F143,H143,J143,L143,W143,S143,Q143)*Valores!$C$4),0),0),2)</f>
        <v>51562.15</v>
      </c>
      <c r="N143" s="113">
        <f t="shared" si="25"/>
        <v>0</v>
      </c>
      <c r="O143" s="113">
        <f>Valores!C$74</f>
        <v>201666.88</v>
      </c>
      <c r="P143" s="113">
        <f>Valores!$D$5</f>
        <v>49998.43</v>
      </c>
      <c r="Q143" s="113">
        <f>IF($F$4="NO",Valores!$C$23,Valores!$C$23/2)</f>
        <v>34731.18</v>
      </c>
      <c r="R143" s="113">
        <f>Valores!$C$8</f>
        <v>46521.33</v>
      </c>
      <c r="S143" s="113">
        <f t="shared" si="30"/>
        <v>46521.33</v>
      </c>
      <c r="T143" s="113">
        <v>0</v>
      </c>
      <c r="U143" s="113">
        <v>0</v>
      </c>
      <c r="V143" s="169">
        <v>0</v>
      </c>
      <c r="W143" s="113">
        <f>ROUND(V143*Valores!$C$2,2)</f>
        <v>0</v>
      </c>
      <c r="X143" s="113">
        <v>0</v>
      </c>
      <c r="Y143" s="188">
        <v>0</v>
      </c>
      <c r="Z143" s="113">
        <f t="shared" si="26"/>
        <v>0</v>
      </c>
      <c r="AA143" s="169">
        <v>0</v>
      </c>
      <c r="AB143" s="113">
        <f>ROUND(AA143*Valores!$C$2,2)</f>
        <v>0</v>
      </c>
      <c r="AC143" s="113">
        <f>ROUND(IF($F$4="NO",Valores!$C$32,Valores!$C$32/2),2)</f>
        <v>23377.77</v>
      </c>
      <c r="AD143" s="113">
        <f>SUM(F143,H143,J143,L143,M143,N143,O143,P143,Q143,S143,T143,U143,W143,X143,Z143,AB143,AC143)*Valores!$C$58</f>
        <v>53285.380999999994</v>
      </c>
      <c r="AE143" s="113">
        <f t="shared" si="27"/>
        <v>586139.19099999988</v>
      </c>
      <c r="AF143" s="113">
        <f>Valores!$C$11</f>
        <v>36428</v>
      </c>
      <c r="AG143" s="113">
        <f>Valores!$C$59</f>
        <v>25000</v>
      </c>
      <c r="AH143" s="113">
        <f t="shared" si="23"/>
        <v>61428</v>
      </c>
      <c r="AI143" s="113">
        <f>AE143*Valores!$C$39</f>
        <v>-64475.311009999983</v>
      </c>
      <c r="AJ143" s="113">
        <f>IF(AE143&lt;Valores!$E$40,-0.02,IF(AE143&lt;Valores!$F$40,-0.03,-0.04))*AE143</f>
        <v>-11722.783819999997</v>
      </c>
      <c r="AK143" s="113">
        <f>AE143*Valores!$C$42</f>
        <v>-32237.655504999992</v>
      </c>
      <c r="AL143" s="113">
        <f>Valores!$C$56</f>
        <v>-1270.1600000000001</v>
      </c>
      <c r="AM143" s="113">
        <f>IF($F$5=0,Valores!$C$57,(Valores!$C$57+$F$5*(Valores!$C$57)))</f>
        <v>-7026</v>
      </c>
      <c r="AN143" s="113">
        <f t="shared" si="28"/>
        <v>530835.28066499985</v>
      </c>
      <c r="AO143" s="113">
        <f t="shared" si="22"/>
        <v>-64475.311009999983</v>
      </c>
      <c r="AP143" s="113">
        <f t="shared" si="29"/>
        <v>-11722.783819999997</v>
      </c>
      <c r="AQ143" s="113">
        <f>AE143*Valores!$C$43</f>
        <v>-15825.758156999997</v>
      </c>
      <c r="AR143" s="113">
        <f>AE143*Valores!$C$44</f>
        <v>-1758.4175729999997</v>
      </c>
      <c r="AS143" s="113">
        <f t="shared" si="24"/>
        <v>553784.9204399999</v>
      </c>
      <c r="AT143" s="113">
        <f>AE143*Valores!$C$46</f>
        <v>93782.270559999975</v>
      </c>
      <c r="AU143" s="113">
        <f>AE143*Valores!$C$47</f>
        <v>41029.743369999997</v>
      </c>
      <c r="AV143" s="113">
        <f>AE143*Valores!$C$48</f>
        <v>5861.3919099999985</v>
      </c>
      <c r="AW143" s="113">
        <f>AE143*Valores!$C$50</f>
        <v>20514.871684999998</v>
      </c>
      <c r="AX143" s="113">
        <f>AE143*Valores!$C$52</f>
        <v>31651.516313999993</v>
      </c>
      <c r="AY143" s="113">
        <f>AE143*Valores!$C$51</f>
        <v>3516.8351459999994</v>
      </c>
      <c r="AZ143" s="114"/>
      <c r="BA143" s="114"/>
      <c r="BB143" s="111" t="s">
        <v>4</v>
      </c>
    </row>
    <row r="144" spans="1:54" s="100" customFormat="1" ht="11.25" customHeight="1" x14ac:dyDescent="0.15">
      <c r="A144" s="111" t="s">
        <v>340</v>
      </c>
      <c r="B144" s="111">
        <v>1</v>
      </c>
      <c r="C144" s="114">
        <v>137</v>
      </c>
      <c r="D144" s="112" t="s">
        <v>341</v>
      </c>
      <c r="E144" s="169">
        <v>1278</v>
      </c>
      <c r="F144" s="113">
        <f>ROUND(E144*Valores!$C$2,2)</f>
        <v>124996.07</v>
      </c>
      <c r="G144" s="169">
        <v>0</v>
      </c>
      <c r="H144" s="113">
        <f>ROUND(G144*Valores!$C$2,2)</f>
        <v>0</v>
      </c>
      <c r="I144" s="169">
        <v>0</v>
      </c>
      <c r="J144" s="113">
        <f>ROUND(I144*Valores!$C$2,2)</f>
        <v>0</v>
      </c>
      <c r="K144" s="169">
        <v>0</v>
      </c>
      <c r="L144" s="113">
        <f>ROUND(K144*Valores!$C$2,2)</f>
        <v>0</v>
      </c>
      <c r="M144" s="113">
        <f>ROUND(IF($H$2=0,IF(AND(A144&lt;&gt;"13-930",A144&lt;&gt;"13-940"),(SUM(F144,H144,J144,L144,W144,S144,Q144)*Valores!$C$4),0),0),2)</f>
        <v>51562.15</v>
      </c>
      <c r="N144" s="113">
        <f t="shared" si="25"/>
        <v>0</v>
      </c>
      <c r="O144" s="113">
        <f>Valores!C$74</f>
        <v>201666.88</v>
      </c>
      <c r="P144" s="113">
        <f>Valores!$D$5</f>
        <v>49998.43</v>
      </c>
      <c r="Q144" s="113">
        <f>IF($F$4="NO",Valores!$C$23,Valores!$C$23/2)</f>
        <v>34731.18</v>
      </c>
      <c r="R144" s="113">
        <f>Valores!$C$8</f>
        <v>46521.33</v>
      </c>
      <c r="S144" s="113">
        <f t="shared" si="30"/>
        <v>46521.33</v>
      </c>
      <c r="T144" s="113">
        <v>0</v>
      </c>
      <c r="U144" s="113">
        <v>0</v>
      </c>
      <c r="V144" s="169">
        <v>0</v>
      </c>
      <c r="W144" s="113">
        <f>ROUND(V144*Valores!$C$2,2)</f>
        <v>0</v>
      </c>
      <c r="X144" s="113">
        <v>0</v>
      </c>
      <c r="Y144" s="188">
        <v>0</v>
      </c>
      <c r="Z144" s="113">
        <f t="shared" si="26"/>
        <v>0</v>
      </c>
      <c r="AA144" s="169">
        <v>0</v>
      </c>
      <c r="AB144" s="113">
        <f>ROUND(AA144*Valores!$C$2,2)</f>
        <v>0</v>
      </c>
      <c r="AC144" s="113">
        <f>ROUND(IF($F$4="NO",Valores!$C$32,Valores!$C$32/2),2)</f>
        <v>23377.77</v>
      </c>
      <c r="AD144" s="113">
        <f>SUM(F144,H144,J144,L144,M144,N144,O144,P144,Q144,S144,T144,U144,W144,X144,Z144,AB144,AC144)*Valores!$C$58</f>
        <v>53285.380999999994</v>
      </c>
      <c r="AE144" s="113">
        <f t="shared" si="27"/>
        <v>586139.19099999988</v>
      </c>
      <c r="AF144" s="113">
        <f>Valores!$C$11</f>
        <v>36428</v>
      </c>
      <c r="AG144" s="113">
        <f>Valores!$C$59</f>
        <v>25000</v>
      </c>
      <c r="AH144" s="113">
        <f t="shared" si="23"/>
        <v>61428</v>
      </c>
      <c r="AI144" s="113">
        <f>AE144*Valores!$C$39</f>
        <v>-64475.311009999983</v>
      </c>
      <c r="AJ144" s="113">
        <f>IF(AE144&lt;Valores!$E$40,-0.02,IF(AE144&lt;Valores!$F$40,-0.03,-0.04))*AE144</f>
        <v>-11722.783819999997</v>
      </c>
      <c r="AK144" s="113">
        <f>AE144*Valores!$C$42</f>
        <v>-32237.655504999992</v>
      </c>
      <c r="AL144" s="113">
        <f>Valores!$C$56</f>
        <v>-1270.1600000000001</v>
      </c>
      <c r="AM144" s="113">
        <f>IF($F$5=0,Valores!$C$57,(Valores!$C$57+$F$5*(Valores!$C$57)))</f>
        <v>-7026</v>
      </c>
      <c r="AN144" s="113">
        <f t="shared" si="28"/>
        <v>530835.28066499985</v>
      </c>
      <c r="AO144" s="113">
        <f t="shared" si="22"/>
        <v>-64475.311009999983</v>
      </c>
      <c r="AP144" s="113">
        <f t="shared" si="29"/>
        <v>-11722.783819999997</v>
      </c>
      <c r="AQ144" s="113">
        <f>AE144*Valores!$C$43</f>
        <v>-15825.758156999997</v>
      </c>
      <c r="AR144" s="113">
        <f>AE144*Valores!$C$44</f>
        <v>-1758.4175729999997</v>
      </c>
      <c r="AS144" s="113">
        <f t="shared" si="24"/>
        <v>553784.9204399999</v>
      </c>
      <c r="AT144" s="113">
        <f>AE144*Valores!$C$46</f>
        <v>93782.270559999975</v>
      </c>
      <c r="AU144" s="113">
        <f>AE144*Valores!$C$47</f>
        <v>41029.743369999997</v>
      </c>
      <c r="AV144" s="113">
        <f>AE144*Valores!$C$48</f>
        <v>5861.3919099999985</v>
      </c>
      <c r="AW144" s="113">
        <f>AE144*Valores!$C$50</f>
        <v>20514.871684999998</v>
      </c>
      <c r="AX144" s="113">
        <f>AE144*Valores!$C$52</f>
        <v>31651.516313999993</v>
      </c>
      <c r="AY144" s="113">
        <f>AE144*Valores!$C$51</f>
        <v>3516.8351459999994</v>
      </c>
      <c r="AZ144" s="114"/>
      <c r="BA144" s="114">
        <v>20</v>
      </c>
      <c r="BB144" s="111" t="s">
        <v>4</v>
      </c>
    </row>
    <row r="145" spans="1:54" s="100" customFormat="1" ht="11.25" customHeight="1" x14ac:dyDescent="0.15">
      <c r="A145" s="111" t="s">
        <v>342</v>
      </c>
      <c r="B145" s="111">
        <v>1</v>
      </c>
      <c r="C145" s="114">
        <v>138</v>
      </c>
      <c r="D145" s="112" t="s">
        <v>343</v>
      </c>
      <c r="E145" s="169">
        <v>1278</v>
      </c>
      <c r="F145" s="113">
        <f>ROUND(E145*Valores!$C$2,2)</f>
        <v>124996.07</v>
      </c>
      <c r="G145" s="169">
        <v>0</v>
      </c>
      <c r="H145" s="113">
        <f>ROUND(G145*Valores!$C$2,2)</f>
        <v>0</v>
      </c>
      <c r="I145" s="169">
        <v>0</v>
      </c>
      <c r="J145" s="113">
        <f>ROUND(I145*Valores!$C$2,2)</f>
        <v>0</v>
      </c>
      <c r="K145" s="169">
        <v>0</v>
      </c>
      <c r="L145" s="113">
        <f>ROUND(K145*Valores!$C$2,2)</f>
        <v>0</v>
      </c>
      <c r="M145" s="113">
        <f>ROUND(IF($H$2=0,IF(AND(A145&lt;&gt;"13-930",A145&lt;&gt;"13-940"),(SUM(F145,H145,J145,L145,W145,S145,Q145)*Valores!$C$4),0),0),2)</f>
        <v>51562.15</v>
      </c>
      <c r="N145" s="113">
        <f t="shared" si="25"/>
        <v>0</v>
      </c>
      <c r="O145" s="113">
        <f>Valores!C$74</f>
        <v>201666.88</v>
      </c>
      <c r="P145" s="113">
        <f>Valores!$D$5</f>
        <v>49998.43</v>
      </c>
      <c r="Q145" s="113">
        <f>IF($F$4="NO",Valores!$C$23,Valores!$C$23/2)</f>
        <v>34731.18</v>
      </c>
      <c r="R145" s="113">
        <f>Valores!$C$8</f>
        <v>46521.33</v>
      </c>
      <c r="S145" s="113">
        <f t="shared" si="30"/>
        <v>46521.33</v>
      </c>
      <c r="T145" s="113">
        <v>0</v>
      </c>
      <c r="U145" s="113">
        <v>0</v>
      </c>
      <c r="V145" s="169">
        <v>0</v>
      </c>
      <c r="W145" s="113">
        <f>ROUND(V145*Valores!$C$2,2)</f>
        <v>0</v>
      </c>
      <c r="X145" s="113">
        <v>0</v>
      </c>
      <c r="Y145" s="188">
        <v>0</v>
      </c>
      <c r="Z145" s="113">
        <f t="shared" si="26"/>
        <v>0</v>
      </c>
      <c r="AA145" s="169">
        <v>94</v>
      </c>
      <c r="AB145" s="113">
        <f>ROUND(AA145*Valores!$C$2,2)</f>
        <v>9193.76</v>
      </c>
      <c r="AC145" s="113">
        <f>ROUND(IF($F$4="NO",Valores!$C$32,Valores!$C$32/2),2)</f>
        <v>23377.77</v>
      </c>
      <c r="AD145" s="113">
        <f>SUM(F145,H145,J145,L145,M145,N145,O145,P145,Q145,S145,T145,U145,W145,X145,Z145,AB145,AC145)*Valores!$C$58</f>
        <v>54204.756999999998</v>
      </c>
      <c r="AE145" s="113">
        <f t="shared" si="27"/>
        <v>596252.32699999993</v>
      </c>
      <c r="AF145" s="113">
        <f>Valores!$C$11</f>
        <v>36428</v>
      </c>
      <c r="AG145" s="113">
        <f>Valores!$C$59</f>
        <v>25000</v>
      </c>
      <c r="AH145" s="113">
        <f t="shared" si="23"/>
        <v>61428</v>
      </c>
      <c r="AI145" s="113">
        <f>AE145*Valores!$C$39</f>
        <v>-65587.755969999998</v>
      </c>
      <c r="AJ145" s="113">
        <f>IF(AE145&lt;Valores!$E$40,-0.02,IF(AE145&lt;Valores!$F$40,-0.03,-0.04))*AE145</f>
        <v>-11925.046539999999</v>
      </c>
      <c r="AK145" s="113">
        <f>AE145*Valores!$C$42</f>
        <v>-32793.877984999999</v>
      </c>
      <c r="AL145" s="113">
        <f>Valores!$C$56</f>
        <v>-1270.1600000000001</v>
      </c>
      <c r="AM145" s="113">
        <f>IF($F$5=0,Valores!$C$57,(Valores!$C$57+$F$5*(Valores!$C$57)))</f>
        <v>-7026</v>
      </c>
      <c r="AN145" s="113">
        <f t="shared" si="28"/>
        <v>539077.48650499992</v>
      </c>
      <c r="AO145" s="113">
        <f t="shared" si="22"/>
        <v>-65587.755969999998</v>
      </c>
      <c r="AP145" s="113">
        <f t="shared" si="29"/>
        <v>-11925.046539999999</v>
      </c>
      <c r="AQ145" s="113">
        <f>AE145*Valores!$C$43</f>
        <v>-16098.812828999999</v>
      </c>
      <c r="AR145" s="113">
        <f>AE145*Valores!$C$44</f>
        <v>-1788.7569809999998</v>
      </c>
      <c r="AS145" s="113">
        <f t="shared" si="24"/>
        <v>562279.95467999997</v>
      </c>
      <c r="AT145" s="113">
        <f>AE145*Valores!$C$46</f>
        <v>95400.372319999995</v>
      </c>
      <c r="AU145" s="113">
        <f>AE145*Valores!$C$47</f>
        <v>41737.66289</v>
      </c>
      <c r="AV145" s="113">
        <f>AE145*Valores!$C$48</f>
        <v>5962.5232699999997</v>
      </c>
      <c r="AW145" s="113">
        <f>AE145*Valores!$C$50</f>
        <v>20868.831445</v>
      </c>
      <c r="AX145" s="113">
        <f>AE145*Valores!$C$52</f>
        <v>32197.625657999997</v>
      </c>
      <c r="AY145" s="113">
        <f>AE145*Valores!$C$51</f>
        <v>3577.5139619999995</v>
      </c>
      <c r="AZ145" s="114"/>
      <c r="BA145" s="114">
        <v>20</v>
      </c>
      <c r="BB145" s="111" t="s">
        <v>4</v>
      </c>
    </row>
    <row r="146" spans="1:54" s="100" customFormat="1" ht="11.25" customHeight="1" x14ac:dyDescent="0.15">
      <c r="A146" s="111" t="s">
        <v>344</v>
      </c>
      <c r="B146" s="111">
        <v>1</v>
      </c>
      <c r="C146" s="114">
        <v>139</v>
      </c>
      <c r="D146" s="112" t="s">
        <v>345</v>
      </c>
      <c r="E146" s="169">
        <v>1278</v>
      </c>
      <c r="F146" s="113">
        <f>ROUND(E146*Valores!$C$2,2)</f>
        <v>124996.07</v>
      </c>
      <c r="G146" s="169">
        <v>0</v>
      </c>
      <c r="H146" s="113">
        <f>ROUND(G146*Valores!$C$2,2)</f>
        <v>0</v>
      </c>
      <c r="I146" s="169">
        <v>0</v>
      </c>
      <c r="J146" s="113">
        <f>ROUND(I146*Valores!$C$2,2)</f>
        <v>0</v>
      </c>
      <c r="K146" s="169">
        <v>0</v>
      </c>
      <c r="L146" s="113">
        <f>ROUND(K146*Valores!$C$2,2)</f>
        <v>0</v>
      </c>
      <c r="M146" s="113">
        <f>ROUND(IF($H$2=0,IF(AND(A146&lt;&gt;"13-930",A146&lt;&gt;"13-940"),(SUM(F146,H146,J146,L146,W146,S146,Q146)*Valores!$C$4),0),0),2)</f>
        <v>51562.15</v>
      </c>
      <c r="N146" s="113">
        <f t="shared" si="25"/>
        <v>0</v>
      </c>
      <c r="O146" s="113">
        <f>Valores!C$74</f>
        <v>201666.88</v>
      </c>
      <c r="P146" s="113">
        <f>Valores!$D$5</f>
        <v>49998.43</v>
      </c>
      <c r="Q146" s="113">
        <f>IF($F$4="NO",Valores!$C$23,Valores!$C$23/2)</f>
        <v>34731.18</v>
      </c>
      <c r="R146" s="113">
        <f>Valores!$C$8</f>
        <v>46521.33</v>
      </c>
      <c r="S146" s="113">
        <f t="shared" si="30"/>
        <v>46521.33</v>
      </c>
      <c r="T146" s="113">
        <v>0</v>
      </c>
      <c r="U146" s="113">
        <v>0</v>
      </c>
      <c r="V146" s="169">
        <v>0</v>
      </c>
      <c r="W146" s="113">
        <f>ROUND(V146*Valores!$C$2,2)</f>
        <v>0</v>
      </c>
      <c r="X146" s="113">
        <v>0</v>
      </c>
      <c r="Y146" s="188">
        <v>0</v>
      </c>
      <c r="Z146" s="113">
        <f t="shared" si="26"/>
        <v>0</v>
      </c>
      <c r="AA146" s="169">
        <v>0</v>
      </c>
      <c r="AB146" s="113">
        <f>ROUND(AA146*Valores!$C$2,2)</f>
        <v>0</v>
      </c>
      <c r="AC146" s="113">
        <f>ROUND(IF($F$4="NO",Valores!$C$32,Valores!$C$32/2),2)</f>
        <v>23377.77</v>
      </c>
      <c r="AD146" s="113">
        <f>SUM(F146,H146,J146,L146,M146,N146,O146,P146,Q146,S146,T146,U146,W146,X146,Z146,AB146,AC146)*Valores!$C$58</f>
        <v>53285.380999999994</v>
      </c>
      <c r="AE146" s="113">
        <f t="shared" si="27"/>
        <v>586139.19099999988</v>
      </c>
      <c r="AF146" s="113">
        <f>Valores!$C$11</f>
        <v>36428</v>
      </c>
      <c r="AG146" s="113">
        <f>Valores!$C$59</f>
        <v>25000</v>
      </c>
      <c r="AH146" s="113">
        <f t="shared" si="23"/>
        <v>61428</v>
      </c>
      <c r="AI146" s="113">
        <f>AE146*Valores!$C$39</f>
        <v>-64475.311009999983</v>
      </c>
      <c r="AJ146" s="113">
        <f>IF(AE146&lt;Valores!$E$40,-0.02,IF(AE146&lt;Valores!$F$40,-0.03,-0.04))*AE146</f>
        <v>-11722.783819999997</v>
      </c>
      <c r="AK146" s="113">
        <f>AE146*Valores!$C$42</f>
        <v>-32237.655504999992</v>
      </c>
      <c r="AL146" s="113">
        <f>Valores!$C$56</f>
        <v>-1270.1600000000001</v>
      </c>
      <c r="AM146" s="113">
        <f>IF($F$5=0,Valores!$C$57,(Valores!$C$57+$F$5*(Valores!$C$57)))</f>
        <v>-7026</v>
      </c>
      <c r="AN146" s="113">
        <f t="shared" si="28"/>
        <v>530835.28066499985</v>
      </c>
      <c r="AO146" s="113">
        <f t="shared" si="22"/>
        <v>-64475.311009999983</v>
      </c>
      <c r="AP146" s="113">
        <f t="shared" si="29"/>
        <v>-11722.783819999997</v>
      </c>
      <c r="AQ146" s="113">
        <f>AE146*Valores!$C$43</f>
        <v>-15825.758156999997</v>
      </c>
      <c r="AR146" s="113">
        <f>AE146*Valores!$C$44</f>
        <v>-1758.4175729999997</v>
      </c>
      <c r="AS146" s="113">
        <f t="shared" si="24"/>
        <v>553784.9204399999</v>
      </c>
      <c r="AT146" s="113">
        <f>AE146*Valores!$C$46</f>
        <v>93782.270559999975</v>
      </c>
      <c r="AU146" s="113">
        <f>AE146*Valores!$C$47</f>
        <v>41029.743369999997</v>
      </c>
      <c r="AV146" s="113">
        <f>AE146*Valores!$C$48</f>
        <v>5861.3919099999985</v>
      </c>
      <c r="AW146" s="113">
        <f>AE146*Valores!$C$50</f>
        <v>20514.871684999998</v>
      </c>
      <c r="AX146" s="113">
        <f>AE146*Valores!$C$52</f>
        <v>31651.516313999993</v>
      </c>
      <c r="AY146" s="113">
        <f>AE146*Valores!$C$51</f>
        <v>3516.8351459999994</v>
      </c>
      <c r="AZ146" s="114"/>
      <c r="BA146" s="114">
        <v>22</v>
      </c>
      <c r="BB146" s="111" t="s">
        <v>4</v>
      </c>
    </row>
    <row r="147" spans="1:54" s="100" customFormat="1" ht="11.25" customHeight="1" x14ac:dyDescent="0.15">
      <c r="A147" s="111" t="s">
        <v>346</v>
      </c>
      <c r="B147" s="111">
        <v>1</v>
      </c>
      <c r="C147" s="114">
        <v>140</v>
      </c>
      <c r="D147" s="112" t="s">
        <v>347</v>
      </c>
      <c r="E147" s="169">
        <v>1278</v>
      </c>
      <c r="F147" s="113">
        <f>ROUND(E147*Valores!$C$2,2)</f>
        <v>124996.07</v>
      </c>
      <c r="G147" s="169">
        <v>0</v>
      </c>
      <c r="H147" s="113">
        <f>ROUND(G147*Valores!$C$2,2)</f>
        <v>0</v>
      </c>
      <c r="I147" s="169">
        <v>0</v>
      </c>
      <c r="J147" s="113">
        <f>ROUND(I147*Valores!$C$2,2)</f>
        <v>0</v>
      </c>
      <c r="K147" s="169">
        <v>0</v>
      </c>
      <c r="L147" s="113">
        <f>ROUND(K147*Valores!$C$2,2)</f>
        <v>0</v>
      </c>
      <c r="M147" s="113">
        <f>ROUND(IF($H$2=0,IF(AND(A147&lt;&gt;"13-930",A147&lt;&gt;"13-940"),(SUM(F147,H147,J147,L147,W147,S147,Q147)*Valores!$C$4),0),0),2)</f>
        <v>51443.24</v>
      </c>
      <c r="N147" s="113">
        <f t="shared" si="25"/>
        <v>0</v>
      </c>
      <c r="O147" s="113">
        <f>Valores!C$66</f>
        <v>157063.19</v>
      </c>
      <c r="P147" s="113">
        <f>Valores!$D$5</f>
        <v>49998.43</v>
      </c>
      <c r="Q147" s="113">
        <f>IF($F$4="NO",Valores!$C$23,Valores!$C$23/2)</f>
        <v>34731.18</v>
      </c>
      <c r="R147" s="113">
        <f>Valores!$C$9</f>
        <v>46045.69</v>
      </c>
      <c r="S147" s="113">
        <f t="shared" si="30"/>
        <v>46045.69</v>
      </c>
      <c r="T147" s="113">
        <v>0</v>
      </c>
      <c r="U147" s="113">
        <v>0</v>
      </c>
      <c r="V147" s="169">
        <v>0</v>
      </c>
      <c r="W147" s="113">
        <f>ROUND(V147*Valores!$C$2,2)</f>
        <v>0</v>
      </c>
      <c r="X147" s="113">
        <v>0</v>
      </c>
      <c r="Y147" s="188">
        <v>0</v>
      </c>
      <c r="Z147" s="113">
        <f t="shared" si="26"/>
        <v>0</v>
      </c>
      <c r="AA147" s="169">
        <v>0</v>
      </c>
      <c r="AB147" s="113">
        <f>ROUND(AA147*Valores!$C$2,2)</f>
        <v>0</v>
      </c>
      <c r="AC147" s="113">
        <f>ROUND(IF($F$4="NO",Valores!$C$32,Valores!$C$32/2),2)</f>
        <v>23377.77</v>
      </c>
      <c r="AD147" s="113">
        <f>SUM(F147,H147,J147,L147,M147,N147,O147,P147,Q147,S147,T147,U147,W147,X147,Z147,AB147,AC147)*Valores!$C$58</f>
        <v>48765.557000000001</v>
      </c>
      <c r="AE147" s="113">
        <f t="shared" si="27"/>
        <v>536421.12699999998</v>
      </c>
      <c r="AF147" s="113">
        <f>Valores!$C$11</f>
        <v>36428</v>
      </c>
      <c r="AG147" s="113">
        <f>Valores!$C$59</f>
        <v>25000</v>
      </c>
      <c r="AH147" s="113">
        <f t="shared" si="23"/>
        <v>61428</v>
      </c>
      <c r="AI147" s="113">
        <f>AE147*Valores!$C$39</f>
        <v>-59006.323969999998</v>
      </c>
      <c r="AJ147" s="113">
        <f>IF(AE147&lt;Valores!$E$40,-0.02,IF(AE147&lt;Valores!$F$40,-0.03,-0.04))*AE147</f>
        <v>-10728.42254</v>
      </c>
      <c r="AK147" s="113">
        <f>AE147*Valores!$C$42</f>
        <v>-29503.161984999999</v>
      </c>
      <c r="AL147" s="113">
        <f>Valores!$C$56</f>
        <v>-1270.1600000000001</v>
      </c>
      <c r="AM147" s="113">
        <f>IF($F$5=0,Valores!$C$57,(Valores!$C$57+$F$5*(Valores!$C$57)))</f>
        <v>-7026</v>
      </c>
      <c r="AN147" s="113">
        <f t="shared" si="28"/>
        <v>490315.05850499996</v>
      </c>
      <c r="AO147" s="113">
        <f t="shared" si="22"/>
        <v>-59006.323969999998</v>
      </c>
      <c r="AP147" s="113">
        <f t="shared" si="29"/>
        <v>-10728.42254</v>
      </c>
      <c r="AQ147" s="113">
        <f>AE147*Valores!$C$43</f>
        <v>-14483.370428999999</v>
      </c>
      <c r="AR147" s="113">
        <f>AE147*Valores!$C$44</f>
        <v>-1609.263381</v>
      </c>
      <c r="AS147" s="113">
        <f t="shared" si="24"/>
        <v>512021.74667999998</v>
      </c>
      <c r="AT147" s="113">
        <f>AE147*Valores!$C$46</f>
        <v>85827.380319999997</v>
      </c>
      <c r="AU147" s="113">
        <f>AE147*Valores!$C$47</f>
        <v>37549.478889999999</v>
      </c>
      <c r="AV147" s="113">
        <f>AE147*Valores!$C$48</f>
        <v>5364.2112699999998</v>
      </c>
      <c r="AW147" s="113">
        <f>AE147*Valores!$C$50</f>
        <v>18774.739444999999</v>
      </c>
      <c r="AX147" s="113">
        <f>AE147*Valores!$C$52</f>
        <v>28966.740857999997</v>
      </c>
      <c r="AY147" s="113">
        <f>AE147*Valores!$C$51</f>
        <v>3218.526762</v>
      </c>
      <c r="AZ147" s="114"/>
      <c r="BA147" s="114"/>
      <c r="BB147" s="111" t="s">
        <v>8</v>
      </c>
    </row>
    <row r="148" spans="1:54" s="100" customFormat="1" ht="11.25" customHeight="1" x14ac:dyDescent="0.15">
      <c r="A148" s="111" t="s">
        <v>348</v>
      </c>
      <c r="B148" s="111">
        <v>1</v>
      </c>
      <c r="C148" s="114">
        <v>141</v>
      </c>
      <c r="D148" s="112" t="s">
        <v>349</v>
      </c>
      <c r="E148" s="169">
        <v>1278</v>
      </c>
      <c r="F148" s="113">
        <f>ROUND(E148*Valores!$C$2,2)</f>
        <v>124996.07</v>
      </c>
      <c r="G148" s="169">
        <v>0</v>
      </c>
      <c r="H148" s="113">
        <f>ROUND(G148*Valores!$C$2,2)</f>
        <v>0</v>
      </c>
      <c r="I148" s="169">
        <v>0</v>
      </c>
      <c r="J148" s="113">
        <f>ROUND(I148*Valores!$C$2,2)</f>
        <v>0</v>
      </c>
      <c r="K148" s="169">
        <v>0</v>
      </c>
      <c r="L148" s="113">
        <f>ROUND(K148*Valores!$C$2,2)</f>
        <v>0</v>
      </c>
      <c r="M148" s="113">
        <f>ROUND(IF($H$2=0,IF(AND(A148&lt;&gt;"13-930",A148&lt;&gt;"13-940"),(SUM(F148,H148,J148,L148,W148,S148,Q148)*Valores!$C$4),0),0),2)</f>
        <v>51443.24</v>
      </c>
      <c r="N148" s="113">
        <f t="shared" si="25"/>
        <v>0</v>
      </c>
      <c r="O148" s="113">
        <f>Valores!C$66</f>
        <v>157063.19</v>
      </c>
      <c r="P148" s="113">
        <f>Valores!$D$5</f>
        <v>49998.43</v>
      </c>
      <c r="Q148" s="113">
        <f>IF($F$4="NO",Valores!$C$23,Valores!$C$23/2)</f>
        <v>34731.18</v>
      </c>
      <c r="R148" s="113">
        <f>Valores!$C$9</f>
        <v>46045.69</v>
      </c>
      <c r="S148" s="113">
        <f t="shared" si="30"/>
        <v>46045.69</v>
      </c>
      <c r="T148" s="113">
        <v>0</v>
      </c>
      <c r="U148" s="113">
        <v>0</v>
      </c>
      <c r="V148" s="169">
        <v>0</v>
      </c>
      <c r="W148" s="113">
        <f>ROUND(V148*Valores!$C$2,2)</f>
        <v>0</v>
      </c>
      <c r="X148" s="113">
        <v>0</v>
      </c>
      <c r="Y148" s="188">
        <v>0</v>
      </c>
      <c r="Z148" s="113">
        <f t="shared" si="26"/>
        <v>0</v>
      </c>
      <c r="AA148" s="169">
        <v>0</v>
      </c>
      <c r="AB148" s="113">
        <f>ROUND(AA148*Valores!$C$2,2)</f>
        <v>0</v>
      </c>
      <c r="AC148" s="113">
        <f>ROUND(IF($F$4="NO",Valores!$C$32,Valores!$C$32/2),2)</f>
        <v>23377.77</v>
      </c>
      <c r="AD148" s="113">
        <f>SUM(F148,H148,J148,L148,M148,N148,O148,P148,Q148,S148,T148,U148,W148,X148,Z148,AB148,AC148)*Valores!$C$58</f>
        <v>48765.557000000001</v>
      </c>
      <c r="AE148" s="113">
        <f t="shared" si="27"/>
        <v>536421.12699999998</v>
      </c>
      <c r="AF148" s="113">
        <f>Valores!$C$11</f>
        <v>36428</v>
      </c>
      <c r="AG148" s="113">
        <f>Valores!$C$59</f>
        <v>25000</v>
      </c>
      <c r="AH148" s="113">
        <f t="shared" si="23"/>
        <v>61428</v>
      </c>
      <c r="AI148" s="113">
        <f>AE148*Valores!$C$39</f>
        <v>-59006.323969999998</v>
      </c>
      <c r="AJ148" s="113">
        <f>IF(AE148&lt;Valores!$E$40,-0.02,IF(AE148&lt;Valores!$F$40,-0.03,-0.04))*AE148</f>
        <v>-10728.42254</v>
      </c>
      <c r="AK148" s="113">
        <f>AE148*Valores!$C$42</f>
        <v>-29503.161984999999</v>
      </c>
      <c r="AL148" s="113">
        <f>Valores!$C$56</f>
        <v>-1270.1600000000001</v>
      </c>
      <c r="AM148" s="113">
        <f>IF($F$5=0,Valores!$C$57,(Valores!$C$57+$F$5*(Valores!$C$57)))</f>
        <v>-7026</v>
      </c>
      <c r="AN148" s="113">
        <f t="shared" si="28"/>
        <v>490315.05850499996</v>
      </c>
      <c r="AO148" s="113">
        <f t="shared" si="22"/>
        <v>-59006.323969999998</v>
      </c>
      <c r="AP148" s="113">
        <f t="shared" si="29"/>
        <v>-10728.42254</v>
      </c>
      <c r="AQ148" s="113">
        <f>AE148*Valores!$C$43</f>
        <v>-14483.370428999999</v>
      </c>
      <c r="AR148" s="113">
        <f>AE148*Valores!$C$44</f>
        <v>-1609.263381</v>
      </c>
      <c r="AS148" s="113">
        <f t="shared" si="24"/>
        <v>512021.74667999998</v>
      </c>
      <c r="AT148" s="113">
        <f>AE148*Valores!$C$46</f>
        <v>85827.380319999997</v>
      </c>
      <c r="AU148" s="113">
        <f>AE148*Valores!$C$47</f>
        <v>37549.478889999999</v>
      </c>
      <c r="AV148" s="113">
        <f>AE148*Valores!$C$48</f>
        <v>5364.2112699999998</v>
      </c>
      <c r="AW148" s="113">
        <f>AE148*Valores!$C$50</f>
        <v>18774.739444999999</v>
      </c>
      <c r="AX148" s="113">
        <f>AE148*Valores!$C$52</f>
        <v>28966.740857999997</v>
      </c>
      <c r="AY148" s="113">
        <f>AE148*Valores!$C$51</f>
        <v>3218.526762</v>
      </c>
      <c r="AZ148" s="114"/>
      <c r="BA148" s="114"/>
      <c r="BB148" s="111" t="s">
        <v>8</v>
      </c>
    </row>
    <row r="149" spans="1:54" s="100" customFormat="1" ht="11.25" customHeight="1" x14ac:dyDescent="0.15">
      <c r="A149" s="111" t="s">
        <v>350</v>
      </c>
      <c r="B149" s="111">
        <v>1</v>
      </c>
      <c r="C149" s="114">
        <v>142</v>
      </c>
      <c r="D149" s="112" t="s">
        <v>351</v>
      </c>
      <c r="E149" s="169">
        <v>1060</v>
      </c>
      <c r="F149" s="113">
        <f>ROUND(E149*Valores!$C$2,2)</f>
        <v>103674.36</v>
      </c>
      <c r="G149" s="169">
        <v>0</v>
      </c>
      <c r="H149" s="113">
        <f>ROUND(G149*Valores!$C$2,2)</f>
        <v>0</v>
      </c>
      <c r="I149" s="169">
        <v>0</v>
      </c>
      <c r="J149" s="113">
        <f>ROUND(I149*Valores!$C$2,2)</f>
        <v>0</v>
      </c>
      <c r="K149" s="169">
        <v>0</v>
      </c>
      <c r="L149" s="113">
        <f>ROUND(K149*Valores!$C$2,2)</f>
        <v>0</v>
      </c>
      <c r="M149" s="113">
        <f>ROUND(IF($H$2=0,IF(AND(A149&lt;&gt;"13-930",A149&lt;&gt;"13-940"),(SUM(F149,H149,J149,L149,W149,S149,Q149)*Valores!$C$4),0),0),2)</f>
        <v>46231.72</v>
      </c>
      <c r="N149" s="113">
        <f t="shared" si="25"/>
        <v>0</v>
      </c>
      <c r="O149" s="113">
        <f>Valores!C$74</f>
        <v>201666.88</v>
      </c>
      <c r="P149" s="113">
        <f>Valores!$D$5</f>
        <v>49998.43</v>
      </c>
      <c r="Q149" s="113">
        <f>IF($F$4="NO",Valores!$C$23,Valores!$C$23/2)</f>
        <v>34731.18</v>
      </c>
      <c r="R149" s="113">
        <f>Valores!$C$8</f>
        <v>46521.33</v>
      </c>
      <c r="S149" s="113">
        <f t="shared" si="30"/>
        <v>46521.33</v>
      </c>
      <c r="T149" s="113">
        <v>0</v>
      </c>
      <c r="U149" s="113">
        <v>0</v>
      </c>
      <c r="V149" s="169">
        <v>0</v>
      </c>
      <c r="W149" s="113">
        <f>ROUND(V149*Valores!$C$2,2)</f>
        <v>0</v>
      </c>
      <c r="X149" s="113">
        <v>0</v>
      </c>
      <c r="Y149" s="188">
        <v>0</v>
      </c>
      <c r="Z149" s="113">
        <f t="shared" si="26"/>
        <v>0</v>
      </c>
      <c r="AA149" s="169">
        <v>0</v>
      </c>
      <c r="AB149" s="113">
        <f>ROUND(AA149*Valores!$C$2,2)</f>
        <v>0</v>
      </c>
      <c r="AC149" s="113">
        <f>ROUND(IF($F$4="NO",Valores!$C$32,Valores!$C$32/2),2)</f>
        <v>23377.77</v>
      </c>
      <c r="AD149" s="113">
        <f>SUM(F149,H149,J149,L149,M149,N149,O149,P149,Q149,S149,T149,U149,W149,X149,Z149,AB149,AC149)*Valores!$C$58</f>
        <v>50620.167000000009</v>
      </c>
      <c r="AE149" s="113">
        <f t="shared" si="27"/>
        <v>556821.83700000006</v>
      </c>
      <c r="AF149" s="113">
        <f>Valores!$C$11</f>
        <v>36428</v>
      </c>
      <c r="AG149" s="113">
        <f>Valores!$C$59</f>
        <v>25000</v>
      </c>
      <c r="AH149" s="113">
        <f t="shared" si="23"/>
        <v>61428</v>
      </c>
      <c r="AI149" s="113">
        <f>AE149*Valores!$C$39</f>
        <v>-61250.402070000004</v>
      </c>
      <c r="AJ149" s="113">
        <f>IF(AE149&lt;Valores!$E$40,-0.02,IF(AE149&lt;Valores!$F$40,-0.03,-0.04))*AE149</f>
        <v>-11136.436740000001</v>
      </c>
      <c r="AK149" s="113">
        <f>AE149*Valores!$C$42</f>
        <v>-30625.201035000002</v>
      </c>
      <c r="AL149" s="113">
        <f>Valores!$C$56</f>
        <v>-1270.1600000000001</v>
      </c>
      <c r="AM149" s="113">
        <f>IF($F$5=0,Valores!$C$57,(Valores!$C$57+$F$5*(Valores!$C$57)))</f>
        <v>-7026</v>
      </c>
      <c r="AN149" s="113">
        <f t="shared" si="28"/>
        <v>506941.63715500006</v>
      </c>
      <c r="AO149" s="113">
        <f t="shared" si="22"/>
        <v>-61250.402070000004</v>
      </c>
      <c r="AP149" s="113">
        <f t="shared" si="29"/>
        <v>-11136.436740000001</v>
      </c>
      <c r="AQ149" s="113">
        <f>AE149*Valores!$C$43</f>
        <v>-15034.189599000001</v>
      </c>
      <c r="AR149" s="113">
        <f>AE149*Valores!$C$44</f>
        <v>-1670.4655110000001</v>
      </c>
      <c r="AS149" s="113">
        <f t="shared" si="24"/>
        <v>529158.34308000002</v>
      </c>
      <c r="AT149" s="113">
        <f>AE149*Valores!$C$46</f>
        <v>89091.493920000008</v>
      </c>
      <c r="AU149" s="113">
        <f>AE149*Valores!$C$47</f>
        <v>38977.528590000009</v>
      </c>
      <c r="AV149" s="113">
        <f>AE149*Valores!$C$48</f>
        <v>5568.2183700000005</v>
      </c>
      <c r="AW149" s="113">
        <f>AE149*Valores!$C$50</f>
        <v>19488.764295000004</v>
      </c>
      <c r="AX149" s="113">
        <f>AE149*Valores!$C$52</f>
        <v>30068.379198000002</v>
      </c>
      <c r="AY149" s="113">
        <f>AE149*Valores!$C$51</f>
        <v>3340.9310220000002</v>
      </c>
      <c r="AZ149" s="114"/>
      <c r="BA149" s="114"/>
      <c r="BB149" s="111" t="s">
        <v>8</v>
      </c>
    </row>
    <row r="150" spans="1:54" s="100" customFormat="1" ht="11.25" customHeight="1" x14ac:dyDescent="0.15">
      <c r="A150" s="111" t="s">
        <v>352</v>
      </c>
      <c r="B150" s="111">
        <v>1</v>
      </c>
      <c r="C150" s="114">
        <v>143</v>
      </c>
      <c r="D150" s="112" t="s">
        <v>353</v>
      </c>
      <c r="E150" s="169">
        <v>1278</v>
      </c>
      <c r="F150" s="113">
        <f>ROUND(E150*Valores!$C$2,2)</f>
        <v>124996.07</v>
      </c>
      <c r="G150" s="169">
        <v>0</v>
      </c>
      <c r="H150" s="113">
        <f>ROUND(G150*Valores!$C$2,2)</f>
        <v>0</v>
      </c>
      <c r="I150" s="169">
        <v>0</v>
      </c>
      <c r="J150" s="113">
        <f>ROUND(I150*Valores!$C$2,2)</f>
        <v>0</v>
      </c>
      <c r="K150" s="169">
        <v>0</v>
      </c>
      <c r="L150" s="113">
        <f>ROUND(K150*Valores!$C$2,2)</f>
        <v>0</v>
      </c>
      <c r="M150" s="113">
        <f>ROUND(IF($H$2=0,IF(AND(A150&lt;&gt;"13-930",A150&lt;&gt;"13-940"),(SUM(F150,H150,J150,L150,W150,S150,Q150)*Valores!$C$4),0),0),2)</f>
        <v>51443.24</v>
      </c>
      <c r="N150" s="113">
        <f t="shared" si="25"/>
        <v>0</v>
      </c>
      <c r="O150" s="113">
        <f>Valores!C$74</f>
        <v>201666.88</v>
      </c>
      <c r="P150" s="113">
        <f>Valores!$D$5</f>
        <v>49998.43</v>
      </c>
      <c r="Q150" s="113">
        <f>IF($F$4="NO",Valores!$C$23,Valores!$C$23/2)</f>
        <v>34731.18</v>
      </c>
      <c r="R150" s="113">
        <f>Valores!$C$9</f>
        <v>46045.69</v>
      </c>
      <c r="S150" s="113">
        <f t="shared" si="30"/>
        <v>46045.69</v>
      </c>
      <c r="T150" s="113">
        <v>0</v>
      </c>
      <c r="U150" s="113">
        <v>0</v>
      </c>
      <c r="V150" s="169">
        <v>0</v>
      </c>
      <c r="W150" s="113">
        <f>ROUND(V150*Valores!$C$2,2)</f>
        <v>0</v>
      </c>
      <c r="X150" s="113">
        <v>0</v>
      </c>
      <c r="Y150" s="188">
        <v>0</v>
      </c>
      <c r="Z150" s="113">
        <f t="shared" si="26"/>
        <v>0</v>
      </c>
      <c r="AA150" s="169">
        <v>0</v>
      </c>
      <c r="AB150" s="113">
        <f>ROUND(AA150*Valores!$C$2,2)</f>
        <v>0</v>
      </c>
      <c r="AC150" s="113">
        <f>ROUND(IF($F$4="NO",Valores!$C$32,Valores!$C$32/2),2)</f>
        <v>23377.77</v>
      </c>
      <c r="AD150" s="113">
        <f>SUM(F150,H150,J150,L150,M150,N150,O150,P150,Q150,S150,T150,U150,W150,X150,Z150,AB150,AC150)*Valores!$C$58</f>
        <v>53225.926000000007</v>
      </c>
      <c r="AE150" s="113">
        <f t="shared" si="27"/>
        <v>585485.18599999999</v>
      </c>
      <c r="AF150" s="113">
        <f>Valores!$C$11</f>
        <v>36428</v>
      </c>
      <c r="AG150" s="113">
        <f>Valores!$C$59</f>
        <v>25000</v>
      </c>
      <c r="AH150" s="113">
        <f t="shared" si="23"/>
        <v>61428</v>
      </c>
      <c r="AI150" s="113">
        <f>AE150*Valores!$C$39</f>
        <v>-64403.370459999998</v>
      </c>
      <c r="AJ150" s="113">
        <f>IF(AE150&lt;Valores!$E$40,-0.02,IF(AE150&lt;Valores!$F$40,-0.03,-0.04))*AE150</f>
        <v>-11709.70372</v>
      </c>
      <c r="AK150" s="113">
        <f>AE150*Valores!$C$42</f>
        <v>-32201.685229999999</v>
      </c>
      <c r="AL150" s="113">
        <f>Valores!$C$56</f>
        <v>-1270.1600000000001</v>
      </c>
      <c r="AM150" s="113">
        <f>IF($F$5=0,Valores!$C$57,(Valores!$C$57+$F$5*(Valores!$C$57)))</f>
        <v>-7026</v>
      </c>
      <c r="AN150" s="113">
        <f t="shared" si="28"/>
        <v>530302.26659000001</v>
      </c>
      <c r="AO150" s="113">
        <f t="shared" si="22"/>
        <v>-64403.370459999998</v>
      </c>
      <c r="AP150" s="113">
        <f t="shared" si="29"/>
        <v>-11709.70372</v>
      </c>
      <c r="AQ150" s="113">
        <f>AE150*Valores!$C$43</f>
        <v>-15808.100021999999</v>
      </c>
      <c r="AR150" s="113">
        <f>AE150*Valores!$C$44</f>
        <v>-1756.4555580000001</v>
      </c>
      <c r="AS150" s="113">
        <f t="shared" si="24"/>
        <v>553235.55623999995</v>
      </c>
      <c r="AT150" s="113">
        <f>AE150*Valores!$C$46</f>
        <v>93677.629759999996</v>
      </c>
      <c r="AU150" s="113">
        <f>AE150*Valores!$C$47</f>
        <v>40983.963020000003</v>
      </c>
      <c r="AV150" s="113">
        <f>AE150*Valores!$C$48</f>
        <v>5854.8518599999998</v>
      </c>
      <c r="AW150" s="113">
        <f>AE150*Valores!$C$50</f>
        <v>20491.981510000001</v>
      </c>
      <c r="AX150" s="113">
        <f>AE150*Valores!$C$52</f>
        <v>31616.200043999997</v>
      </c>
      <c r="AY150" s="113">
        <f>AE150*Valores!$C$51</f>
        <v>3512.9111160000002</v>
      </c>
      <c r="AZ150" s="114"/>
      <c r="BA150" s="114">
        <v>22</v>
      </c>
      <c r="BB150" s="111" t="s">
        <v>4</v>
      </c>
    </row>
    <row r="151" spans="1:54" s="100" customFormat="1" ht="11.25" customHeight="1" x14ac:dyDescent="0.15">
      <c r="A151" s="111" t="s">
        <v>354</v>
      </c>
      <c r="B151" s="111">
        <v>1</v>
      </c>
      <c r="C151" s="114">
        <v>144</v>
      </c>
      <c r="D151" s="112" t="s">
        <v>355</v>
      </c>
      <c r="E151" s="169">
        <v>1278</v>
      </c>
      <c r="F151" s="113">
        <f>ROUND(E151*Valores!$C$2,2)</f>
        <v>124996.07</v>
      </c>
      <c r="G151" s="169">
        <v>0</v>
      </c>
      <c r="H151" s="113">
        <f>ROUND(G151*Valores!$C$2,2)</f>
        <v>0</v>
      </c>
      <c r="I151" s="169">
        <v>0</v>
      </c>
      <c r="J151" s="113">
        <f>ROUND(I151*Valores!$C$2,2)</f>
        <v>0</v>
      </c>
      <c r="K151" s="169">
        <v>0</v>
      </c>
      <c r="L151" s="113">
        <f>ROUND(K151*Valores!$C$2,2)</f>
        <v>0</v>
      </c>
      <c r="M151" s="113">
        <f>ROUND(IF($H$2=0,IF(AND(A151&lt;&gt;"13-930",A151&lt;&gt;"13-940"),(SUM(F151,H151,J151,L151,W151,S151,Q151)*Valores!$C$4),0),0),2)</f>
        <v>51562.15</v>
      </c>
      <c r="N151" s="113">
        <f t="shared" si="25"/>
        <v>0</v>
      </c>
      <c r="O151" s="113">
        <f>Valores!C$74</f>
        <v>201666.88</v>
      </c>
      <c r="P151" s="113">
        <f>Valores!$D$5</f>
        <v>49998.43</v>
      </c>
      <c r="Q151" s="113">
        <f>IF($F$4="NO",Valores!$C$23,Valores!$C$23/2)</f>
        <v>34731.18</v>
      </c>
      <c r="R151" s="113">
        <f>Valores!$C$8</f>
        <v>46521.33</v>
      </c>
      <c r="S151" s="113">
        <f t="shared" si="30"/>
        <v>46521.33</v>
      </c>
      <c r="T151" s="113">
        <v>0</v>
      </c>
      <c r="U151" s="113">
        <v>0</v>
      </c>
      <c r="V151" s="169">
        <v>0</v>
      </c>
      <c r="W151" s="113">
        <f>ROUND(V151*Valores!$C$2,2)</f>
        <v>0</v>
      </c>
      <c r="X151" s="113">
        <v>0</v>
      </c>
      <c r="Y151" s="188">
        <v>0</v>
      </c>
      <c r="Z151" s="113">
        <f t="shared" si="26"/>
        <v>0</v>
      </c>
      <c r="AA151" s="169">
        <v>0</v>
      </c>
      <c r="AB151" s="113">
        <f>ROUND(AA151*Valores!$C$2,2)</f>
        <v>0</v>
      </c>
      <c r="AC151" s="113">
        <f>ROUND(IF($F$4="NO",Valores!$C$32,Valores!$C$32/2),2)</f>
        <v>23377.77</v>
      </c>
      <c r="AD151" s="113">
        <f>SUM(F151,H151,J151,L151,M151,N151,O151,P151,Q151,S151,T151,U151,W151,X151,Z151,AB151,AC151)*Valores!$C$58</f>
        <v>53285.380999999994</v>
      </c>
      <c r="AE151" s="113">
        <f t="shared" si="27"/>
        <v>586139.19099999988</v>
      </c>
      <c r="AF151" s="113">
        <f>Valores!$C$11</f>
        <v>36428</v>
      </c>
      <c r="AG151" s="113">
        <f>Valores!$C$59</f>
        <v>25000</v>
      </c>
      <c r="AH151" s="113">
        <f t="shared" si="23"/>
        <v>61428</v>
      </c>
      <c r="AI151" s="113">
        <f>AE151*Valores!$C$39</f>
        <v>-64475.311009999983</v>
      </c>
      <c r="AJ151" s="113">
        <f>IF(AE151&lt;Valores!$E$40,-0.02,IF(AE151&lt;Valores!$F$40,-0.03,-0.04))*AE151</f>
        <v>-11722.783819999997</v>
      </c>
      <c r="AK151" s="113">
        <f>AE151*Valores!$C$42</f>
        <v>-32237.655504999992</v>
      </c>
      <c r="AL151" s="113">
        <f>Valores!$C$56</f>
        <v>-1270.1600000000001</v>
      </c>
      <c r="AM151" s="113">
        <f>IF($F$5=0,Valores!$C$57,(Valores!$C$57+$F$5*(Valores!$C$57)))</f>
        <v>-7026</v>
      </c>
      <c r="AN151" s="113">
        <f t="shared" si="28"/>
        <v>530835.28066499985</v>
      </c>
      <c r="AO151" s="113">
        <f t="shared" si="22"/>
        <v>-64475.311009999983</v>
      </c>
      <c r="AP151" s="113">
        <f t="shared" si="29"/>
        <v>-11722.783819999997</v>
      </c>
      <c r="AQ151" s="113">
        <f>AE151*Valores!$C$43</f>
        <v>-15825.758156999997</v>
      </c>
      <c r="AR151" s="113">
        <f>AE151*Valores!$C$44</f>
        <v>-1758.4175729999997</v>
      </c>
      <c r="AS151" s="113">
        <f t="shared" si="24"/>
        <v>553784.9204399999</v>
      </c>
      <c r="AT151" s="113">
        <f>AE151*Valores!$C$46</f>
        <v>93782.270559999975</v>
      </c>
      <c r="AU151" s="113">
        <f>AE151*Valores!$C$47</f>
        <v>41029.743369999997</v>
      </c>
      <c r="AV151" s="113">
        <f>AE151*Valores!$C$48</f>
        <v>5861.3919099999985</v>
      </c>
      <c r="AW151" s="113">
        <f>AE151*Valores!$C$50</f>
        <v>20514.871684999998</v>
      </c>
      <c r="AX151" s="113">
        <f>AE151*Valores!$C$52</f>
        <v>31651.516313999993</v>
      </c>
      <c r="AY151" s="113">
        <f>AE151*Valores!$C$51</f>
        <v>3516.8351459999994</v>
      </c>
      <c r="AZ151" s="114"/>
      <c r="BA151" s="114">
        <v>25</v>
      </c>
      <c r="BB151" s="111" t="s">
        <v>4</v>
      </c>
    </row>
    <row r="152" spans="1:54" s="100" customFormat="1" ht="11.25" customHeight="1" x14ac:dyDescent="0.15">
      <c r="A152" s="111" t="s">
        <v>356</v>
      </c>
      <c r="B152" s="111">
        <v>1</v>
      </c>
      <c r="C152" s="114">
        <v>145</v>
      </c>
      <c r="D152" s="112" t="s">
        <v>357</v>
      </c>
      <c r="E152" s="169">
        <v>1065</v>
      </c>
      <c r="F152" s="113">
        <f>ROUND(E152*Valores!$C$2,2)</f>
        <v>104163.39</v>
      </c>
      <c r="G152" s="169">
        <v>0</v>
      </c>
      <c r="H152" s="113">
        <f>ROUND(G152*Valores!$C$2,2)</f>
        <v>0</v>
      </c>
      <c r="I152" s="169">
        <v>0</v>
      </c>
      <c r="J152" s="113">
        <f>ROUND(I152*Valores!$C$2,2)</f>
        <v>0</v>
      </c>
      <c r="K152" s="169">
        <v>0</v>
      </c>
      <c r="L152" s="113">
        <f>ROUND(K152*Valores!$C$2,2)</f>
        <v>0</v>
      </c>
      <c r="M152" s="113">
        <f>ROUND(IF($H$2=0,IF(AND(A152&lt;&gt;"13-930",A152&lt;&gt;"13-940"),(SUM(F152,H152,J152,L152,W152,S152,Q152)*Valores!$C$4),0),0),2)</f>
        <v>45864.76</v>
      </c>
      <c r="N152" s="113">
        <f t="shared" si="25"/>
        <v>0</v>
      </c>
      <c r="O152" s="113">
        <f>Valores!C$73</f>
        <v>198577.36</v>
      </c>
      <c r="P152" s="113">
        <f>Valores!$D$5</f>
        <v>49998.43</v>
      </c>
      <c r="Q152" s="113">
        <f>IF($F$4="NO",Valores!$C$22,Valores!$C$22/2)</f>
        <v>32774.300000000003</v>
      </c>
      <c r="R152" s="113">
        <f>Valores!$C$8</f>
        <v>46521.33</v>
      </c>
      <c r="S152" s="113">
        <f t="shared" si="30"/>
        <v>46521.33</v>
      </c>
      <c r="T152" s="113">
        <v>0</v>
      </c>
      <c r="U152" s="113">
        <v>0</v>
      </c>
      <c r="V152" s="169">
        <v>0</v>
      </c>
      <c r="W152" s="113">
        <f>ROUND(V152*Valores!$C$2,2)</f>
        <v>0</v>
      </c>
      <c r="X152" s="113">
        <v>0</v>
      </c>
      <c r="Y152" s="188">
        <v>0</v>
      </c>
      <c r="Z152" s="113">
        <f t="shared" si="26"/>
        <v>0</v>
      </c>
      <c r="AA152" s="169">
        <v>0</v>
      </c>
      <c r="AB152" s="113">
        <f>ROUND(AA152*Valores!$C$2,2)</f>
        <v>0</v>
      </c>
      <c r="AC152" s="113">
        <f>ROUND(IF($F$4="NO",Valores!$C$32,Valores!$C$32/2),2)</f>
        <v>23377.77</v>
      </c>
      <c r="AD152" s="113">
        <f>SUM(F152,H152,J152,L152,M152,N152,O152,P152,Q152,S152,T152,U152,W152,X152,Z152,AB152,AC152)*Valores!$C$58</f>
        <v>50127.734000000004</v>
      </c>
      <c r="AE152" s="113">
        <f t="shared" si="27"/>
        <v>551405.07400000002</v>
      </c>
      <c r="AF152" s="113">
        <f>Valores!$C$11</f>
        <v>36428</v>
      </c>
      <c r="AG152" s="113">
        <f>Valores!$C$59</f>
        <v>25000</v>
      </c>
      <c r="AH152" s="113">
        <f t="shared" si="23"/>
        <v>61428</v>
      </c>
      <c r="AI152" s="113">
        <f>AE152*Valores!$C$39</f>
        <v>-60654.558140000001</v>
      </c>
      <c r="AJ152" s="113">
        <f>IF(AE152&lt;Valores!$E$40,-0.02,IF(AE152&lt;Valores!$F$40,-0.03,-0.04))*AE152</f>
        <v>-11028.101480000001</v>
      </c>
      <c r="AK152" s="113">
        <f>AE152*Valores!$C$42</f>
        <v>-30327.279070000001</v>
      </c>
      <c r="AL152" s="113">
        <f>Valores!$C$56</f>
        <v>-1270.1600000000001</v>
      </c>
      <c r="AM152" s="113">
        <f>IF($F$5=0,Valores!$C$57,(Valores!$C$57+$F$5*(Valores!$C$57)))</f>
        <v>-7026</v>
      </c>
      <c r="AN152" s="113">
        <f t="shared" si="28"/>
        <v>502526.97531000001</v>
      </c>
      <c r="AO152" s="113">
        <f t="shared" si="22"/>
        <v>-60654.558140000001</v>
      </c>
      <c r="AP152" s="113">
        <f t="shared" si="29"/>
        <v>-11028.101480000001</v>
      </c>
      <c r="AQ152" s="113">
        <f>AE152*Valores!$C$43</f>
        <v>-14887.936998000001</v>
      </c>
      <c r="AR152" s="113">
        <f>AE152*Valores!$C$44</f>
        <v>-1654.215222</v>
      </c>
      <c r="AS152" s="113">
        <f t="shared" si="24"/>
        <v>524608.26216000004</v>
      </c>
      <c r="AT152" s="113">
        <f>AE152*Valores!$C$46</f>
        <v>88224.811840000009</v>
      </c>
      <c r="AU152" s="113">
        <f>AE152*Valores!$C$47</f>
        <v>38598.355180000006</v>
      </c>
      <c r="AV152" s="113">
        <f>AE152*Valores!$C$48</f>
        <v>5514.0507400000006</v>
      </c>
      <c r="AW152" s="113">
        <f>AE152*Valores!$C$50</f>
        <v>19299.177590000003</v>
      </c>
      <c r="AX152" s="113">
        <f>AE152*Valores!$C$52</f>
        <v>29775.873996000002</v>
      </c>
      <c r="AY152" s="113">
        <f>AE152*Valores!$C$51</f>
        <v>3308.4304440000001</v>
      </c>
      <c r="AZ152" s="114"/>
      <c r="BA152" s="114">
        <v>25</v>
      </c>
      <c r="BB152" s="111" t="s">
        <v>4</v>
      </c>
    </row>
    <row r="153" spans="1:54" s="100" customFormat="1" ht="11.25" customHeight="1" x14ac:dyDescent="0.15">
      <c r="A153" s="111" t="s">
        <v>358</v>
      </c>
      <c r="B153" s="111">
        <v>1</v>
      </c>
      <c r="C153" s="114">
        <v>146</v>
      </c>
      <c r="D153" s="112" t="s">
        <v>359</v>
      </c>
      <c r="E153" s="169">
        <v>947</v>
      </c>
      <c r="F153" s="113">
        <f>ROUND(E153*Valores!$C$2,2)</f>
        <v>92622.28</v>
      </c>
      <c r="G153" s="169">
        <v>0</v>
      </c>
      <c r="H153" s="113">
        <f>ROUND(G153*Valores!$C$2,2)</f>
        <v>0</v>
      </c>
      <c r="I153" s="169">
        <v>0</v>
      </c>
      <c r="J153" s="113">
        <f>ROUND(I153*Valores!$C$2,2)</f>
        <v>0</v>
      </c>
      <c r="K153" s="169">
        <v>0</v>
      </c>
      <c r="L153" s="113">
        <f>ROUND(K153*Valores!$C$2,2)</f>
        <v>0</v>
      </c>
      <c r="M153" s="113">
        <f>ROUND(IF($H$2=0,IF(AND(A153&lt;&gt;"13-930",A153&lt;&gt;"13-940"),(SUM(F153,H153,J153,L153,W153,S153,Q153)*Valores!$C$4),0),0),2)</f>
        <v>42979.48</v>
      </c>
      <c r="N153" s="113">
        <f t="shared" si="25"/>
        <v>0</v>
      </c>
      <c r="O153" s="113">
        <f>Valores!C$73</f>
        <v>198577.36</v>
      </c>
      <c r="P153" s="113">
        <f>Valores!$D$5</f>
        <v>49998.43</v>
      </c>
      <c r="Q153" s="113">
        <f>IF($F$4="NO",Valores!$C$22,Valores!$C$22/2)</f>
        <v>32774.300000000003</v>
      </c>
      <c r="R153" s="113">
        <f>Valores!$C$8</f>
        <v>46521.33</v>
      </c>
      <c r="S153" s="113">
        <f t="shared" si="30"/>
        <v>46521.33</v>
      </c>
      <c r="T153" s="113">
        <v>0</v>
      </c>
      <c r="U153" s="113">
        <v>0</v>
      </c>
      <c r="V153" s="169">
        <v>0</v>
      </c>
      <c r="W153" s="113">
        <f>ROUND(V153*Valores!$C$2,2)</f>
        <v>0</v>
      </c>
      <c r="X153" s="113">
        <v>0</v>
      </c>
      <c r="Y153" s="188">
        <v>0</v>
      </c>
      <c r="Z153" s="113">
        <f t="shared" si="26"/>
        <v>0</v>
      </c>
      <c r="AA153" s="169">
        <v>0</v>
      </c>
      <c r="AB153" s="113">
        <f>ROUND(AA153*Valores!$C$2,2)</f>
        <v>0</v>
      </c>
      <c r="AC153" s="113">
        <f>ROUND(IF($F$4="NO",Valores!$C$32,Valores!$C$32/2),2)</f>
        <v>23377.77</v>
      </c>
      <c r="AD153" s="113">
        <f>SUM(F153,H153,J153,L153,M153,N153,O153,P153,Q153,S153,T153,U153,W153,X153,Z153,AB153,AC153)*Valores!$C$58</f>
        <v>48685.095000000001</v>
      </c>
      <c r="AE153" s="113">
        <f t="shared" si="27"/>
        <v>535536.04500000004</v>
      </c>
      <c r="AF153" s="113">
        <f>Valores!$C$11</f>
        <v>36428</v>
      </c>
      <c r="AG153" s="113">
        <f>Valores!$C$59</f>
        <v>25000</v>
      </c>
      <c r="AH153" s="113">
        <f t="shared" si="23"/>
        <v>61428</v>
      </c>
      <c r="AI153" s="113">
        <f>AE153*Valores!$C$39</f>
        <v>-58908.964950000001</v>
      </c>
      <c r="AJ153" s="113">
        <f>IF(AE153&lt;Valores!$E$40,-0.02,IF(AE153&lt;Valores!$F$40,-0.03,-0.04))*AE153</f>
        <v>-10710.7209</v>
      </c>
      <c r="AK153" s="113">
        <f>AE153*Valores!$C$42</f>
        <v>-29454.482475000001</v>
      </c>
      <c r="AL153" s="113">
        <f>Valores!$C$56</f>
        <v>-1270.1600000000001</v>
      </c>
      <c r="AM153" s="113">
        <f>IF($F$5=0,Valores!$C$57,(Valores!$C$57+$F$5*(Valores!$C$57)))</f>
        <v>-7026</v>
      </c>
      <c r="AN153" s="113">
        <f t="shared" si="28"/>
        <v>489593.71667500003</v>
      </c>
      <c r="AO153" s="113">
        <f t="shared" si="22"/>
        <v>-58908.964950000001</v>
      </c>
      <c r="AP153" s="113">
        <f t="shared" si="29"/>
        <v>-10710.7209</v>
      </c>
      <c r="AQ153" s="113">
        <f>AE153*Valores!$C$43</f>
        <v>-14459.473215000002</v>
      </c>
      <c r="AR153" s="113">
        <f>AE153*Valores!$C$44</f>
        <v>-1606.6081350000002</v>
      </c>
      <c r="AS153" s="113">
        <f t="shared" si="24"/>
        <v>511278.27780000004</v>
      </c>
      <c r="AT153" s="113">
        <f>AE153*Valores!$C$46</f>
        <v>85685.767200000002</v>
      </c>
      <c r="AU153" s="113">
        <f>AE153*Valores!$C$47</f>
        <v>37487.523150000008</v>
      </c>
      <c r="AV153" s="113">
        <f>AE153*Valores!$C$48</f>
        <v>5355.3604500000001</v>
      </c>
      <c r="AW153" s="113">
        <f>AE153*Valores!$C$50</f>
        <v>18743.761575000004</v>
      </c>
      <c r="AX153" s="113">
        <f>AE153*Valores!$C$52</f>
        <v>28918.946430000004</v>
      </c>
      <c r="AY153" s="113">
        <f>AE153*Valores!$C$51</f>
        <v>3213.2162700000003</v>
      </c>
      <c r="AZ153" s="114"/>
      <c r="BA153" s="114">
        <v>22</v>
      </c>
      <c r="BB153" s="111" t="s">
        <v>4</v>
      </c>
    </row>
    <row r="154" spans="1:54" s="100" customFormat="1" ht="11.25" customHeight="1" x14ac:dyDescent="0.15">
      <c r="A154" s="111" t="s">
        <v>360</v>
      </c>
      <c r="B154" s="111">
        <v>1</v>
      </c>
      <c r="C154" s="114">
        <v>147</v>
      </c>
      <c r="D154" s="112" t="s">
        <v>361</v>
      </c>
      <c r="E154" s="169">
        <v>1800</v>
      </c>
      <c r="F154" s="113">
        <f>ROUND(E154*Valores!$C$2,2)</f>
        <v>176050.8</v>
      </c>
      <c r="G154" s="169">
        <v>0</v>
      </c>
      <c r="H154" s="113">
        <f>ROUND(G154*Valores!$C$2,2)</f>
        <v>0</v>
      </c>
      <c r="I154" s="169">
        <v>0</v>
      </c>
      <c r="J154" s="113">
        <f>ROUND(I154*Valores!$C$2,2)</f>
        <v>0</v>
      </c>
      <c r="K154" s="169">
        <v>0</v>
      </c>
      <c r="L154" s="113">
        <f>ROUND(K154*Valores!$C$2,2)</f>
        <v>0</v>
      </c>
      <c r="M154" s="113">
        <f>ROUND(IF($H$2=0,IF(AND(A154&lt;&gt;"13-930",A154&lt;&gt;"13-940"),(SUM(F154,H154,J154,L154,W154,S154,Q154)*Valores!$C$4),0),0),2)</f>
        <v>68709.33</v>
      </c>
      <c r="N154" s="113">
        <f t="shared" si="25"/>
        <v>0</v>
      </c>
      <c r="O154" s="113">
        <f>Valores!C$88</f>
        <v>308197.53999999998</v>
      </c>
      <c r="P154" s="113">
        <f>Valores!$D$5</f>
        <v>49998.43</v>
      </c>
      <c r="Q154" s="113">
        <f>IF($F$4="NO",Valores!$C$26,Valores!$C$26/2)</f>
        <v>52265.18</v>
      </c>
      <c r="R154" s="113">
        <f>Valores!$C$8</f>
        <v>46521.33</v>
      </c>
      <c r="S154" s="113">
        <f t="shared" si="30"/>
        <v>46521.33</v>
      </c>
      <c r="T154" s="113">
        <v>0</v>
      </c>
      <c r="U154" s="113">
        <v>0</v>
      </c>
      <c r="V154" s="169">
        <v>0</v>
      </c>
      <c r="W154" s="113">
        <f>ROUND(V154*Valores!$C$2,2)</f>
        <v>0</v>
      </c>
      <c r="X154" s="113">
        <v>0</v>
      </c>
      <c r="Y154" s="188">
        <v>0</v>
      </c>
      <c r="Z154" s="113">
        <f t="shared" si="26"/>
        <v>0</v>
      </c>
      <c r="AA154" s="169">
        <v>0</v>
      </c>
      <c r="AB154" s="113">
        <f>ROUND(AA154*Valores!$C$2,2)</f>
        <v>0</v>
      </c>
      <c r="AC154" s="113">
        <f>ROUND(IF($F$4="NO",Valores!$C$32,Valores!$C$32/2),2)</f>
        <v>23377.77</v>
      </c>
      <c r="AD154" s="113">
        <f>SUM(F154,H154,J154,L154,M154,N154,O154,P154,Q154,S154,T154,U154,W154,X154,Z154,AB154,AC154)*Valores!$C$58</f>
        <v>72512.038</v>
      </c>
      <c r="AE154" s="113">
        <f t="shared" si="27"/>
        <v>797632.41800000006</v>
      </c>
      <c r="AF154" s="113">
        <f>Valores!$C$12</f>
        <v>72856</v>
      </c>
      <c r="AG154" s="113">
        <f>Valores!$C$59</f>
        <v>25000</v>
      </c>
      <c r="AH154" s="113">
        <f t="shared" si="23"/>
        <v>97856</v>
      </c>
      <c r="AI154" s="113">
        <f>AE154*Valores!$C$39</f>
        <v>-87739.565980000014</v>
      </c>
      <c r="AJ154" s="113">
        <f>IF(AE154&lt;Valores!$E$40,-0.02,IF(AE154&lt;Valores!$F$40,-0.03,-0.04))*AE154</f>
        <v>-23928.972540000002</v>
      </c>
      <c r="AK154" s="113">
        <f>AE154*Valores!$C$42</f>
        <v>-43869.782990000007</v>
      </c>
      <c r="AL154" s="113">
        <f>Valores!$C$56</f>
        <v>-1270.1600000000001</v>
      </c>
      <c r="AM154" s="113">
        <f>IF($F$5=0,Valores!$C$57,(Valores!$C$57+$F$5*(Valores!$C$57)))</f>
        <v>-7026</v>
      </c>
      <c r="AN154" s="113">
        <f t="shared" si="28"/>
        <v>731653.93648999999</v>
      </c>
      <c r="AO154" s="113">
        <f t="shared" si="22"/>
        <v>-87739.565980000014</v>
      </c>
      <c r="AP154" s="113">
        <f t="shared" si="29"/>
        <v>-23928.972540000002</v>
      </c>
      <c r="AQ154" s="113">
        <f>AE154*Valores!$C$43</f>
        <v>-21536.075286000003</v>
      </c>
      <c r="AR154" s="113">
        <f>AE154*Valores!$C$44</f>
        <v>-2392.8972540000004</v>
      </c>
      <c r="AS154" s="113">
        <f t="shared" si="24"/>
        <v>759890.90694000002</v>
      </c>
      <c r="AT154" s="113">
        <f>AE154*Valores!$C$46</f>
        <v>127621.18688000001</v>
      </c>
      <c r="AU154" s="113">
        <f>AE154*Valores!$C$47</f>
        <v>55834.269260000008</v>
      </c>
      <c r="AV154" s="113">
        <f>AE154*Valores!$C$48</f>
        <v>7976.3241800000005</v>
      </c>
      <c r="AW154" s="113">
        <f>AE154*Valores!$C$50</f>
        <v>27917.134630000004</v>
      </c>
      <c r="AX154" s="113">
        <f>AE154*Valores!$C$52</f>
        <v>43072.150572000006</v>
      </c>
      <c r="AY154" s="113">
        <f>AE154*Valores!$C$51</f>
        <v>4785.7945080000009</v>
      </c>
      <c r="AZ154" s="114"/>
      <c r="BA154" s="114"/>
      <c r="BB154" s="111" t="s">
        <v>4</v>
      </c>
    </row>
    <row r="155" spans="1:54" s="100" customFormat="1" ht="11.25" customHeight="1" x14ac:dyDescent="0.15">
      <c r="A155" s="111" t="s">
        <v>362</v>
      </c>
      <c r="B155" s="111">
        <v>1</v>
      </c>
      <c r="C155" s="114">
        <v>148</v>
      </c>
      <c r="D155" s="112" t="s">
        <v>363</v>
      </c>
      <c r="E155" s="169">
        <v>1278</v>
      </c>
      <c r="F155" s="113">
        <f>ROUND(E155*Valores!$C$2,2)</f>
        <v>124996.07</v>
      </c>
      <c r="G155" s="169">
        <v>0</v>
      </c>
      <c r="H155" s="113">
        <f>ROUND(G155*Valores!$C$2,2)</f>
        <v>0</v>
      </c>
      <c r="I155" s="169">
        <v>0</v>
      </c>
      <c r="J155" s="113">
        <f>ROUND(I155*Valores!$C$2,2)</f>
        <v>0</v>
      </c>
      <c r="K155" s="169">
        <v>0</v>
      </c>
      <c r="L155" s="113">
        <f>ROUND(K155*Valores!$C$2,2)</f>
        <v>0</v>
      </c>
      <c r="M155" s="113">
        <f>ROUND(IF($H$2=0,IF(AND(A155&lt;&gt;"13-930",A155&lt;&gt;"13-940"),(SUM(F155,H155,J155,L155,W155,S155,Q155)*Valores!$C$4),0),0),2)</f>
        <v>51562.15</v>
      </c>
      <c r="N155" s="113">
        <f t="shared" si="25"/>
        <v>0</v>
      </c>
      <c r="O155" s="113">
        <f>Valores!C$81</f>
        <v>239735.67999999999</v>
      </c>
      <c r="P155" s="113">
        <f>Valores!$D$5</f>
        <v>49998.43</v>
      </c>
      <c r="Q155" s="113">
        <f>IF($F$4="NO",Valores!$C$23,Valores!$C$23/2)</f>
        <v>34731.18</v>
      </c>
      <c r="R155" s="113">
        <f>Valores!$C$8</f>
        <v>46521.33</v>
      </c>
      <c r="S155" s="113">
        <f t="shared" si="30"/>
        <v>46521.33</v>
      </c>
      <c r="T155" s="113">
        <v>0</v>
      </c>
      <c r="U155" s="113">
        <v>0</v>
      </c>
      <c r="V155" s="169">
        <v>0</v>
      </c>
      <c r="W155" s="113">
        <f>ROUND(V155*Valores!$C$2,2)</f>
        <v>0</v>
      </c>
      <c r="X155" s="113">
        <v>0</v>
      </c>
      <c r="Y155" s="188">
        <v>0</v>
      </c>
      <c r="Z155" s="113">
        <f t="shared" si="26"/>
        <v>0</v>
      </c>
      <c r="AA155" s="169">
        <v>0</v>
      </c>
      <c r="AB155" s="113">
        <f>ROUND(AA155*Valores!$C$2,2)</f>
        <v>0</v>
      </c>
      <c r="AC155" s="113">
        <f>ROUND(IF($F$4="NO",Valores!$C$32,Valores!$C$32/2),2)</f>
        <v>23377.77</v>
      </c>
      <c r="AD155" s="113">
        <f>SUM(F155,H155,J155,L155,M155,N155,O155,P155,Q155,S155,T155,U155,W155,X155,Z155,AB155,AC155)*Valores!$C$58</f>
        <v>57092.260999999999</v>
      </c>
      <c r="AE155" s="113">
        <f t="shared" si="27"/>
        <v>628014.87100000004</v>
      </c>
      <c r="AF155" s="113">
        <f>Valores!$C$11</f>
        <v>36428</v>
      </c>
      <c r="AG155" s="113">
        <f>Valores!$C$59</f>
        <v>25000</v>
      </c>
      <c r="AH155" s="113">
        <f t="shared" si="23"/>
        <v>61428</v>
      </c>
      <c r="AI155" s="113">
        <f>AE155*Valores!$C$39</f>
        <v>-69081.635810000007</v>
      </c>
      <c r="AJ155" s="113">
        <f>IF(AE155&lt;Valores!$E$40,-0.02,IF(AE155&lt;Valores!$F$40,-0.03,-0.04))*AE155</f>
        <v>-12560.297420000001</v>
      </c>
      <c r="AK155" s="113">
        <f>AE155*Valores!$C$42</f>
        <v>-34540.817905000004</v>
      </c>
      <c r="AL155" s="113">
        <f>Valores!$C$56</f>
        <v>-1270.1600000000001</v>
      </c>
      <c r="AM155" s="113">
        <f>IF($F$5=0,Valores!$C$57,(Valores!$C$57+$F$5*(Valores!$C$57)))</f>
        <v>-7026</v>
      </c>
      <c r="AN155" s="113">
        <f t="shared" si="28"/>
        <v>564963.95986499998</v>
      </c>
      <c r="AO155" s="113">
        <f t="shared" si="22"/>
        <v>-69081.635810000007</v>
      </c>
      <c r="AP155" s="113">
        <f t="shared" si="29"/>
        <v>-12560.297420000001</v>
      </c>
      <c r="AQ155" s="113">
        <f>AE155*Valores!$C$43</f>
        <v>-16956.401517000002</v>
      </c>
      <c r="AR155" s="113">
        <f>AE155*Valores!$C$44</f>
        <v>-1884.0446130000003</v>
      </c>
      <c r="AS155" s="113">
        <f t="shared" si="24"/>
        <v>588960.49164000002</v>
      </c>
      <c r="AT155" s="113">
        <f>AE155*Valores!$C$46</f>
        <v>100482.37936000001</v>
      </c>
      <c r="AU155" s="113">
        <f>AE155*Valores!$C$47</f>
        <v>43961.040970000009</v>
      </c>
      <c r="AV155" s="113">
        <f>AE155*Valores!$C$48</f>
        <v>6280.1487100000004</v>
      </c>
      <c r="AW155" s="113">
        <f>AE155*Valores!$C$50</f>
        <v>21980.520485000005</v>
      </c>
      <c r="AX155" s="113">
        <f>AE155*Valores!$C$52</f>
        <v>33912.803034000004</v>
      </c>
      <c r="AY155" s="113">
        <f>AE155*Valores!$C$51</f>
        <v>3768.0892260000005</v>
      </c>
      <c r="AZ155" s="114"/>
      <c r="BA155" s="114">
        <v>27</v>
      </c>
      <c r="BB155" s="111" t="s">
        <v>4</v>
      </c>
    </row>
    <row r="156" spans="1:54" s="100" customFormat="1" ht="11.25" customHeight="1" x14ac:dyDescent="0.15">
      <c r="A156" s="111" t="s">
        <v>364</v>
      </c>
      <c r="B156" s="111">
        <v>1</v>
      </c>
      <c r="C156" s="114">
        <v>149</v>
      </c>
      <c r="D156" s="112" t="s">
        <v>365</v>
      </c>
      <c r="E156" s="169">
        <v>1214</v>
      </c>
      <c r="F156" s="113">
        <f>ROUND(E156*Valores!$C$2,2)</f>
        <v>118736.48</v>
      </c>
      <c r="G156" s="169">
        <v>0</v>
      </c>
      <c r="H156" s="113">
        <f>ROUND(G156*Valores!$C$2,2)</f>
        <v>0</v>
      </c>
      <c r="I156" s="169">
        <v>0</v>
      </c>
      <c r="J156" s="113">
        <f>ROUND(I156*Valores!$C$2,2)</f>
        <v>0</v>
      </c>
      <c r="K156" s="169">
        <v>0</v>
      </c>
      <c r="L156" s="113">
        <f>ROUND(K156*Valores!$C$2,2)</f>
        <v>0</v>
      </c>
      <c r="M156" s="113">
        <f>ROUND(IF($H$2=0,IF(AND(A156&lt;&gt;"13-930",A156&lt;&gt;"13-940"),(SUM(F156,H156,J156,L156,W156,S156,Q156)*Valores!$C$4),0),0),2)</f>
        <v>49997.25</v>
      </c>
      <c r="N156" s="113">
        <f t="shared" si="25"/>
        <v>0</v>
      </c>
      <c r="O156" s="113">
        <f>Valores!C$74</f>
        <v>201666.88</v>
      </c>
      <c r="P156" s="113">
        <f>Valores!$D$5</f>
        <v>49998.43</v>
      </c>
      <c r="Q156" s="113">
        <f>IF($F$4="NO",Valores!$C$23,Valores!$C$23/2)</f>
        <v>34731.18</v>
      </c>
      <c r="R156" s="113">
        <f>Valores!$C$8</f>
        <v>46521.33</v>
      </c>
      <c r="S156" s="113">
        <f t="shared" si="30"/>
        <v>46521.33</v>
      </c>
      <c r="T156" s="113">
        <v>0</v>
      </c>
      <c r="U156" s="113">
        <v>0</v>
      </c>
      <c r="V156" s="169">
        <v>0</v>
      </c>
      <c r="W156" s="113">
        <f>ROUND(V156*Valores!$C$2,2)</f>
        <v>0</v>
      </c>
      <c r="X156" s="113">
        <v>0</v>
      </c>
      <c r="Y156" s="188">
        <v>0</v>
      </c>
      <c r="Z156" s="113">
        <f t="shared" si="26"/>
        <v>0</v>
      </c>
      <c r="AA156" s="169">
        <v>0</v>
      </c>
      <c r="AB156" s="113">
        <f>ROUND(AA156*Valores!$C$2,2)</f>
        <v>0</v>
      </c>
      <c r="AC156" s="113">
        <f>ROUND(IF($F$4="NO",Valores!$C$32,Valores!$C$32/2),2)</f>
        <v>23377.77</v>
      </c>
      <c r="AD156" s="113">
        <f>SUM(F156,H156,J156,L156,M156,N156,O156,P156,Q156,S156,T156,U156,W156,X156,Z156,AB156,AC156)*Valores!$C$58</f>
        <v>52502.932000000001</v>
      </c>
      <c r="AE156" s="113">
        <f t="shared" si="27"/>
        <v>577532.25199999998</v>
      </c>
      <c r="AF156" s="113">
        <f>Valores!$C$11</f>
        <v>36428</v>
      </c>
      <c r="AG156" s="113">
        <f>Valores!$C$59</f>
        <v>25000</v>
      </c>
      <c r="AH156" s="113">
        <f t="shared" si="23"/>
        <v>61428</v>
      </c>
      <c r="AI156" s="113">
        <f>AE156*Valores!$C$39</f>
        <v>-63528.547719999995</v>
      </c>
      <c r="AJ156" s="113">
        <f>IF(AE156&lt;Valores!$E$40,-0.02,IF(AE156&lt;Valores!$F$40,-0.03,-0.04))*AE156</f>
        <v>-11550.645039999999</v>
      </c>
      <c r="AK156" s="113">
        <f>AE156*Valores!$C$42</f>
        <v>-31764.273859999998</v>
      </c>
      <c r="AL156" s="113">
        <f>Valores!$C$56</f>
        <v>-1270.1600000000001</v>
      </c>
      <c r="AM156" s="113">
        <f>IF($F$5=0,Valores!$C$57,(Valores!$C$57+$F$5*(Valores!$C$57)))</f>
        <v>-7026</v>
      </c>
      <c r="AN156" s="113">
        <f t="shared" si="28"/>
        <v>523820.62537999998</v>
      </c>
      <c r="AO156" s="113">
        <f t="shared" si="22"/>
        <v>-63528.547719999995</v>
      </c>
      <c r="AP156" s="113">
        <f t="shared" si="29"/>
        <v>-11550.645039999999</v>
      </c>
      <c r="AQ156" s="113">
        <f>AE156*Valores!$C$43</f>
        <v>-15593.370804</v>
      </c>
      <c r="AR156" s="113">
        <f>AE156*Valores!$C$44</f>
        <v>-1732.5967559999999</v>
      </c>
      <c r="AS156" s="113">
        <f t="shared" si="24"/>
        <v>546555.09167999995</v>
      </c>
      <c r="AT156" s="113">
        <f>AE156*Valores!$C$46</f>
        <v>92405.160319999995</v>
      </c>
      <c r="AU156" s="113">
        <f>AE156*Valores!$C$47</f>
        <v>40427.257640000003</v>
      </c>
      <c r="AV156" s="113">
        <f>AE156*Valores!$C$48</f>
        <v>5775.3225199999997</v>
      </c>
      <c r="AW156" s="113">
        <f>AE156*Valores!$C$50</f>
        <v>20213.628820000002</v>
      </c>
      <c r="AX156" s="113">
        <f>AE156*Valores!$C$52</f>
        <v>31186.741608</v>
      </c>
      <c r="AY156" s="113">
        <f>AE156*Valores!$C$51</f>
        <v>3465.1935119999998</v>
      </c>
      <c r="AZ156" s="114"/>
      <c r="BA156" s="114"/>
      <c r="BB156" s="111" t="s">
        <v>4</v>
      </c>
    </row>
    <row r="157" spans="1:54" s="100" customFormat="1" ht="11.25" customHeight="1" x14ac:dyDescent="0.15">
      <c r="A157" s="111" t="s">
        <v>366</v>
      </c>
      <c r="B157" s="111">
        <v>1</v>
      </c>
      <c r="C157" s="114">
        <v>150</v>
      </c>
      <c r="D157" s="112" t="s">
        <v>367</v>
      </c>
      <c r="E157" s="169">
        <v>1184</v>
      </c>
      <c r="F157" s="113">
        <f>ROUND(E157*Valores!$C$2,2)</f>
        <v>115802.3</v>
      </c>
      <c r="G157" s="169">
        <v>0</v>
      </c>
      <c r="H157" s="113">
        <f>ROUND(G157*Valores!$C$2,2)</f>
        <v>0</v>
      </c>
      <c r="I157" s="169">
        <v>0</v>
      </c>
      <c r="J157" s="113">
        <f>ROUND(I157*Valores!$C$2,2)</f>
        <v>0</v>
      </c>
      <c r="K157" s="169">
        <v>0</v>
      </c>
      <c r="L157" s="113">
        <f>ROUND(K157*Valores!$C$2,2)</f>
        <v>0</v>
      </c>
      <c r="M157" s="113">
        <f>ROUND(IF($H$2=0,IF(AND(A157&lt;&gt;"13-930",A157&lt;&gt;"13-940"),(SUM(F157,H157,J157,L157,W157,S157,Q157)*Valores!$C$4),0),0),2)</f>
        <v>49144.79</v>
      </c>
      <c r="N157" s="113">
        <f t="shared" si="25"/>
        <v>0</v>
      </c>
      <c r="O157" s="113">
        <f>Valores!C$66</f>
        <v>157063.19</v>
      </c>
      <c r="P157" s="113">
        <f>Valores!$D$5</f>
        <v>49998.43</v>
      </c>
      <c r="Q157" s="113">
        <f>IF($F$4="NO",Valores!$C$23,Valores!$C$23/2)</f>
        <v>34731.18</v>
      </c>
      <c r="R157" s="113">
        <f>Valores!$C$9</f>
        <v>46045.69</v>
      </c>
      <c r="S157" s="113">
        <f t="shared" si="30"/>
        <v>46045.69</v>
      </c>
      <c r="T157" s="113">
        <v>0</v>
      </c>
      <c r="U157" s="113">
        <v>0</v>
      </c>
      <c r="V157" s="169">
        <v>0</v>
      </c>
      <c r="W157" s="113">
        <f>ROUND(V157*Valores!$C$2,2)</f>
        <v>0</v>
      </c>
      <c r="X157" s="113">
        <v>0</v>
      </c>
      <c r="Y157" s="188">
        <v>0</v>
      </c>
      <c r="Z157" s="113">
        <f t="shared" si="26"/>
        <v>0</v>
      </c>
      <c r="AA157" s="169">
        <v>0</v>
      </c>
      <c r="AB157" s="113">
        <f>ROUND(AA157*Valores!$C$2,2)</f>
        <v>0</v>
      </c>
      <c r="AC157" s="113">
        <f>ROUND(IF($F$4="NO",Valores!$C$32,Valores!$C$32/2),2)</f>
        <v>23377.77</v>
      </c>
      <c r="AD157" s="113">
        <f>SUM(F157,H157,J157,L157,M157,N157,O157,P157,Q157,S157,T157,U157,W157,X157,Z157,AB157,AC157)*Valores!$C$58</f>
        <v>47616.335000000006</v>
      </c>
      <c r="AE157" s="113">
        <f t="shared" si="27"/>
        <v>523779.68500000006</v>
      </c>
      <c r="AF157" s="113">
        <f>Valores!$C$11</f>
        <v>36428</v>
      </c>
      <c r="AG157" s="113">
        <f>Valores!$C$59</f>
        <v>25000</v>
      </c>
      <c r="AH157" s="113">
        <f t="shared" si="23"/>
        <v>61428</v>
      </c>
      <c r="AI157" s="113">
        <f>AE157*Valores!$C$39</f>
        <v>-57615.765350000009</v>
      </c>
      <c r="AJ157" s="113">
        <f>IF(AE157&lt;Valores!$E$40,-0.02,IF(AE157&lt;Valores!$F$40,-0.03,-0.04))*AE157</f>
        <v>-10475.593700000001</v>
      </c>
      <c r="AK157" s="113">
        <f>AE157*Valores!$C$42</f>
        <v>-28807.882675000004</v>
      </c>
      <c r="AL157" s="113">
        <f>Valores!$C$56</f>
        <v>-1270.1600000000001</v>
      </c>
      <c r="AM157" s="113">
        <f>IF($F$5=0,Valores!$C$57,(Valores!$C$57+$F$5*(Valores!$C$57)))</f>
        <v>-7026</v>
      </c>
      <c r="AN157" s="113">
        <f t="shared" si="28"/>
        <v>480012.28327500005</v>
      </c>
      <c r="AO157" s="113">
        <f t="shared" si="22"/>
        <v>-57615.765350000009</v>
      </c>
      <c r="AP157" s="113">
        <f t="shared" si="29"/>
        <v>-10475.593700000001</v>
      </c>
      <c r="AQ157" s="113">
        <f>AE157*Valores!$C$43</f>
        <v>-14142.051495000002</v>
      </c>
      <c r="AR157" s="113">
        <f>AE157*Valores!$C$44</f>
        <v>-1571.3390550000001</v>
      </c>
      <c r="AS157" s="113">
        <f t="shared" si="24"/>
        <v>501402.93540000002</v>
      </c>
      <c r="AT157" s="113">
        <f>AE157*Valores!$C$46</f>
        <v>83804.74960000001</v>
      </c>
      <c r="AU157" s="113">
        <f>AE157*Valores!$C$47</f>
        <v>36664.577950000006</v>
      </c>
      <c r="AV157" s="113">
        <f>AE157*Valores!$C$48</f>
        <v>5237.7968500000006</v>
      </c>
      <c r="AW157" s="113">
        <f>AE157*Valores!$C$50</f>
        <v>18332.288975000003</v>
      </c>
      <c r="AX157" s="113">
        <f>AE157*Valores!$C$52</f>
        <v>28284.102990000003</v>
      </c>
      <c r="AY157" s="113">
        <f>AE157*Valores!$C$51</f>
        <v>3142.6781100000003</v>
      </c>
      <c r="AZ157" s="114"/>
      <c r="BA157" s="114"/>
      <c r="BB157" s="111" t="s">
        <v>8</v>
      </c>
    </row>
    <row r="158" spans="1:54" s="100" customFormat="1" ht="11.25" customHeight="1" x14ac:dyDescent="0.15">
      <c r="A158" s="111" t="s">
        <v>368</v>
      </c>
      <c r="B158" s="111">
        <v>1</v>
      </c>
      <c r="C158" s="114">
        <v>151</v>
      </c>
      <c r="D158" s="112" t="s">
        <v>369</v>
      </c>
      <c r="E158" s="169">
        <v>971</v>
      </c>
      <c r="F158" s="113">
        <f>ROUND(E158*Valores!$C$2,2)</f>
        <v>94969.63</v>
      </c>
      <c r="G158" s="169">
        <v>0</v>
      </c>
      <c r="H158" s="113">
        <f>ROUND(G158*Valores!$C$2,2)</f>
        <v>0</v>
      </c>
      <c r="I158" s="169">
        <v>0</v>
      </c>
      <c r="J158" s="113">
        <f>ROUND(I158*Valores!$C$2,2)</f>
        <v>0</v>
      </c>
      <c r="K158" s="169">
        <v>0</v>
      </c>
      <c r="L158" s="113">
        <f>ROUND(K158*Valores!$C$2,2)</f>
        <v>0</v>
      </c>
      <c r="M158" s="113">
        <f>ROUND(IF($H$2=0,IF(AND(A158&lt;&gt;"13-930",A158&lt;&gt;"13-940"),(SUM(F158,H158,J158,L158,W158,S158,Q158)*Valores!$C$4),0),0),2)</f>
        <v>43566.32</v>
      </c>
      <c r="N158" s="113">
        <f t="shared" si="25"/>
        <v>0</v>
      </c>
      <c r="O158" s="113">
        <f>Valores!C$73</f>
        <v>198577.36</v>
      </c>
      <c r="P158" s="113">
        <f>Valores!$D$5</f>
        <v>49998.43</v>
      </c>
      <c r="Q158" s="113">
        <f>IF($F$4="NO",Valores!$C$22,Valores!$C$22/2)</f>
        <v>32774.300000000003</v>
      </c>
      <c r="R158" s="113">
        <f>Valores!$C$8</f>
        <v>46521.33</v>
      </c>
      <c r="S158" s="113">
        <f t="shared" si="30"/>
        <v>46521.33</v>
      </c>
      <c r="T158" s="113">
        <v>0</v>
      </c>
      <c r="U158" s="113">
        <v>0</v>
      </c>
      <c r="V158" s="169">
        <v>0</v>
      </c>
      <c r="W158" s="113">
        <f>ROUND(V158*Valores!$C$2,2)</f>
        <v>0</v>
      </c>
      <c r="X158" s="113">
        <v>0</v>
      </c>
      <c r="Y158" s="188">
        <v>0</v>
      </c>
      <c r="Z158" s="113">
        <f t="shared" si="26"/>
        <v>0</v>
      </c>
      <c r="AA158" s="169">
        <v>0</v>
      </c>
      <c r="AB158" s="113">
        <f>ROUND(AA158*Valores!$C$2,2)</f>
        <v>0</v>
      </c>
      <c r="AC158" s="113">
        <f>ROUND(IF($F$4="NO",Valores!$C$32,Valores!$C$32/2),2)</f>
        <v>23377.77</v>
      </c>
      <c r="AD158" s="113">
        <f>SUM(F158,H158,J158,L158,M158,N158,O158,P158,Q158,S158,T158,U158,W158,X158,Z158,AB158,AC158)*Valores!$C$58</f>
        <v>48978.514000000003</v>
      </c>
      <c r="AE158" s="113">
        <f t="shared" si="27"/>
        <v>538763.65399999998</v>
      </c>
      <c r="AF158" s="113">
        <f>Valores!$C$11</f>
        <v>36428</v>
      </c>
      <c r="AG158" s="113">
        <f>Valores!$C$59</f>
        <v>25000</v>
      </c>
      <c r="AH158" s="113">
        <f t="shared" si="23"/>
        <v>61428</v>
      </c>
      <c r="AI158" s="113">
        <f>AE158*Valores!$C$39</f>
        <v>-59264.001939999995</v>
      </c>
      <c r="AJ158" s="113">
        <f>IF(AE158&lt;Valores!$E$40,-0.02,IF(AE158&lt;Valores!$F$40,-0.03,-0.04))*AE158</f>
        <v>-10775.273079999999</v>
      </c>
      <c r="AK158" s="113">
        <f>AE158*Valores!$C$42</f>
        <v>-29632.000969999997</v>
      </c>
      <c r="AL158" s="113">
        <f>Valores!$C$56</f>
        <v>-1270.1600000000001</v>
      </c>
      <c r="AM158" s="113">
        <f>IF($F$5=0,Valores!$C$57,(Valores!$C$57+$F$5*(Valores!$C$57)))</f>
        <v>-7026</v>
      </c>
      <c r="AN158" s="113">
        <f t="shared" si="28"/>
        <v>492224.21800999995</v>
      </c>
      <c r="AO158" s="113">
        <f t="shared" si="22"/>
        <v>-59264.001939999995</v>
      </c>
      <c r="AP158" s="113">
        <f t="shared" si="29"/>
        <v>-10775.273079999999</v>
      </c>
      <c r="AQ158" s="113">
        <f>AE158*Valores!$C$43</f>
        <v>-14546.618657999999</v>
      </c>
      <c r="AR158" s="113">
        <f>AE158*Valores!$C$44</f>
        <v>-1616.290962</v>
      </c>
      <c r="AS158" s="113">
        <f t="shared" si="24"/>
        <v>513989.46935999999</v>
      </c>
      <c r="AT158" s="113">
        <f>AE158*Valores!$C$46</f>
        <v>86202.184639999992</v>
      </c>
      <c r="AU158" s="113">
        <f>AE158*Valores!$C$47</f>
        <v>37713.455780000004</v>
      </c>
      <c r="AV158" s="113">
        <f>AE158*Valores!$C$48</f>
        <v>5387.6365399999995</v>
      </c>
      <c r="AW158" s="113">
        <f>AE158*Valores!$C$50</f>
        <v>18856.727890000002</v>
      </c>
      <c r="AX158" s="113">
        <f>AE158*Valores!$C$52</f>
        <v>29093.237315999999</v>
      </c>
      <c r="AY158" s="113">
        <f>AE158*Valores!$C$51</f>
        <v>3232.5819240000001</v>
      </c>
      <c r="AZ158" s="114">
        <v>12</v>
      </c>
      <c r="BA158" s="114">
        <v>12</v>
      </c>
      <c r="BB158" s="111" t="s">
        <v>4</v>
      </c>
    </row>
    <row r="159" spans="1:54" s="100" customFormat="1" ht="11.25" customHeight="1" x14ac:dyDescent="0.15">
      <c r="A159" s="111" t="s">
        <v>368</v>
      </c>
      <c r="B159" s="111">
        <v>1</v>
      </c>
      <c r="C159" s="114">
        <v>152</v>
      </c>
      <c r="D159" s="112" t="s">
        <v>370</v>
      </c>
      <c r="E159" s="169">
        <v>971</v>
      </c>
      <c r="F159" s="113">
        <f>ROUND(E159*Valores!$C$2,2)</f>
        <v>94969.63</v>
      </c>
      <c r="G159" s="169">
        <v>0</v>
      </c>
      <c r="H159" s="113">
        <f>ROUND(G159*Valores!$C$2,2)</f>
        <v>0</v>
      </c>
      <c r="I159" s="169">
        <v>0</v>
      </c>
      <c r="J159" s="113">
        <f>ROUND(I159*Valores!$C$2,2)</f>
        <v>0</v>
      </c>
      <c r="K159" s="169">
        <v>0</v>
      </c>
      <c r="L159" s="113">
        <f>ROUND(K159*Valores!$C$2,2)</f>
        <v>0</v>
      </c>
      <c r="M159" s="113">
        <f>ROUND(IF($H$2=0,IF(AND(A159&lt;&gt;"13-930",A159&lt;&gt;"13-940"),(SUM(F159,H159,J159,L159,W159,S159,Q159)*Valores!$C$4),0),0),2)</f>
        <v>58219.64</v>
      </c>
      <c r="N159" s="113">
        <f t="shared" si="25"/>
        <v>0</v>
      </c>
      <c r="O159" s="113">
        <f>Valores!C$73</f>
        <v>198577.36</v>
      </c>
      <c r="P159" s="113">
        <f>Valores!$D$5</f>
        <v>49998.43</v>
      </c>
      <c r="Q159" s="113">
        <f>IF($F$4="NO",Valores!$C$26,Valores!$C$26/2)</f>
        <v>52265.18</v>
      </c>
      <c r="R159" s="113">
        <f>Valores!$C$8</f>
        <v>46521.33</v>
      </c>
      <c r="S159" s="113">
        <f t="shared" si="30"/>
        <v>46521.33</v>
      </c>
      <c r="T159" s="113">
        <v>0</v>
      </c>
      <c r="U159" s="113">
        <v>0</v>
      </c>
      <c r="V159" s="169">
        <v>400</v>
      </c>
      <c r="W159" s="113">
        <f>ROUND(V159*Valores!$C$2,2)</f>
        <v>39122.400000000001</v>
      </c>
      <c r="X159" s="113">
        <f>ROUND(SUM(F159,H159,J159,Q159)*Valores!$C$3,2)</f>
        <v>22085.22</v>
      </c>
      <c r="Y159" s="188">
        <v>0</v>
      </c>
      <c r="Z159" s="113">
        <f t="shared" si="26"/>
        <v>0</v>
      </c>
      <c r="AA159" s="169">
        <v>94</v>
      </c>
      <c r="AB159" s="113">
        <f>ROUND(AA159*Valores!$C$2,2)</f>
        <v>9193.76</v>
      </c>
      <c r="AC159" s="113">
        <f>ROUND(IF($F$4="NO",Valores!$C$32,Valores!$C$32/2),2)</f>
        <v>23377.77</v>
      </c>
      <c r="AD159" s="113">
        <f>SUM(F159,H159,J159,L159,M159,N159,O159,P159,Q159,S159,T159,U159,W159,X159,Z159,AB159,AC159)*Valores!$C$58</f>
        <v>59433.072</v>
      </c>
      <c r="AE159" s="113">
        <f t="shared" si="27"/>
        <v>653763.79200000002</v>
      </c>
      <c r="AF159" s="113">
        <f>Valores!$C$11</f>
        <v>36428</v>
      </c>
      <c r="AG159" s="113">
        <f>Valores!$C$59</f>
        <v>25000</v>
      </c>
      <c r="AH159" s="113">
        <f t="shared" si="23"/>
        <v>61428</v>
      </c>
      <c r="AI159" s="113">
        <f>AE159*Valores!$C$39</f>
        <v>-71914.017120000004</v>
      </c>
      <c r="AJ159" s="113">
        <f>IF(AE159&lt;Valores!$E$40,-0.02,IF(AE159&lt;Valores!$F$40,-0.03,-0.04))*AE159</f>
        <v>-13075.27584</v>
      </c>
      <c r="AK159" s="113">
        <f>AE159*Valores!$C$42</f>
        <v>-35957.008560000002</v>
      </c>
      <c r="AL159" s="113">
        <f>Valores!$C$56</f>
        <v>-1270.1600000000001</v>
      </c>
      <c r="AM159" s="113">
        <f>IF($F$5=0,Valores!$C$57,(Valores!$C$57+$F$5*(Valores!$C$57)))</f>
        <v>-7026</v>
      </c>
      <c r="AN159" s="113">
        <f t="shared" si="28"/>
        <v>585949.33048</v>
      </c>
      <c r="AO159" s="113">
        <f t="shared" si="22"/>
        <v>-71914.017120000004</v>
      </c>
      <c r="AP159" s="113">
        <f t="shared" si="29"/>
        <v>-13075.27584</v>
      </c>
      <c r="AQ159" s="113">
        <f>AE159*Valores!$C$43</f>
        <v>-17651.622383999998</v>
      </c>
      <c r="AR159" s="113">
        <f>AE159*Valores!$C$44</f>
        <v>-1961.2913760000001</v>
      </c>
      <c r="AS159" s="113">
        <f t="shared" si="24"/>
        <v>610589.58528</v>
      </c>
      <c r="AT159" s="113">
        <f>AE159*Valores!$C$46</f>
        <v>104602.20672</v>
      </c>
      <c r="AU159" s="113">
        <f>AE159*Valores!$C$47</f>
        <v>45763.465440000007</v>
      </c>
      <c r="AV159" s="113">
        <f>AE159*Valores!$C$48</f>
        <v>6537.6379200000001</v>
      </c>
      <c r="AW159" s="113">
        <f>AE159*Valores!$C$50</f>
        <v>22881.732720000004</v>
      </c>
      <c r="AX159" s="113">
        <f>AE159*Valores!$C$52</f>
        <v>35303.244767999997</v>
      </c>
      <c r="AY159" s="113">
        <f>AE159*Valores!$C$51</f>
        <v>3922.5827520000003</v>
      </c>
      <c r="AZ159" s="114">
        <v>12</v>
      </c>
      <c r="BA159" s="114">
        <v>18</v>
      </c>
      <c r="BB159" s="111" t="s">
        <v>4</v>
      </c>
    </row>
    <row r="160" spans="1:54" s="100" customFormat="1" ht="11.25" customHeight="1" x14ac:dyDescent="0.15">
      <c r="A160" s="111" t="s">
        <v>371</v>
      </c>
      <c r="B160" s="111">
        <v>1</v>
      </c>
      <c r="C160" s="114">
        <v>153</v>
      </c>
      <c r="D160" s="112" t="s">
        <v>372</v>
      </c>
      <c r="E160" s="169">
        <v>810</v>
      </c>
      <c r="F160" s="113">
        <f>ROUND(E160*Valores!$C$2,2)</f>
        <v>79222.86</v>
      </c>
      <c r="G160" s="169">
        <v>0</v>
      </c>
      <c r="H160" s="113">
        <f>ROUND(G160*Valores!$C$2,2)</f>
        <v>0</v>
      </c>
      <c r="I160" s="169">
        <v>0</v>
      </c>
      <c r="J160" s="113">
        <f>ROUND(I160*Valores!$C$2,2)</f>
        <v>0</v>
      </c>
      <c r="K160" s="169">
        <v>0</v>
      </c>
      <c r="L160" s="113">
        <f>ROUND(K160*Valores!$C$2,2)</f>
        <v>0</v>
      </c>
      <c r="M160" s="113">
        <f>ROUND(IF($H$2=0,IF(AND(A160&lt;&gt;"13-930",A160&lt;&gt;"13-940"),(SUM(F160,H160,J160,L160,W160,S160,Q160)*Valores!$C$4),0),0),2)</f>
        <v>39510.71</v>
      </c>
      <c r="N160" s="113">
        <f t="shared" si="25"/>
        <v>0</v>
      </c>
      <c r="O160" s="113">
        <f>Valores!C$73</f>
        <v>198577.36</v>
      </c>
      <c r="P160" s="113">
        <f>Valores!$D$5</f>
        <v>49998.43</v>
      </c>
      <c r="Q160" s="113">
        <f>IF($F$4="NO",Valores!$C$22,Valores!$C$22/2)</f>
        <v>32774.300000000003</v>
      </c>
      <c r="R160" s="113">
        <f>Valores!$C$9</f>
        <v>46045.69</v>
      </c>
      <c r="S160" s="113">
        <f t="shared" si="30"/>
        <v>46045.69</v>
      </c>
      <c r="T160" s="113">
        <v>0</v>
      </c>
      <c r="U160" s="113">
        <v>0</v>
      </c>
      <c r="V160" s="169">
        <v>0</v>
      </c>
      <c r="W160" s="113">
        <f>ROUND(V160*Valores!$C$2,2)</f>
        <v>0</v>
      </c>
      <c r="X160" s="113">
        <v>0</v>
      </c>
      <c r="Y160" s="188">
        <v>0</v>
      </c>
      <c r="Z160" s="113">
        <f t="shared" si="26"/>
        <v>0</v>
      </c>
      <c r="AA160" s="169">
        <v>0</v>
      </c>
      <c r="AB160" s="113">
        <f>ROUND(AA160*Valores!$C$2,2)</f>
        <v>0</v>
      </c>
      <c r="AC160" s="113">
        <f>ROUND(IF($F$4="NO",Valores!$C$32,Valores!$C$32/2),2)</f>
        <v>23377.77</v>
      </c>
      <c r="AD160" s="113">
        <f>SUM(F160,H160,J160,L160,M160,N160,O160,P160,Q160,S160,T160,U160,W160,X160,Z160,AB160,AC160)*Valores!$C$58</f>
        <v>46950.712</v>
      </c>
      <c r="AE160" s="113">
        <f t="shared" si="27"/>
        <v>516457.83199999999</v>
      </c>
      <c r="AF160" s="113">
        <f>Valores!$C$11</f>
        <v>36428</v>
      </c>
      <c r="AG160" s="113">
        <f>Valores!$C$59</f>
        <v>25000</v>
      </c>
      <c r="AH160" s="113">
        <f t="shared" si="23"/>
        <v>61428</v>
      </c>
      <c r="AI160" s="113">
        <f>AE160*Valores!$C$39</f>
        <v>-56810.361519999999</v>
      </c>
      <c r="AJ160" s="113">
        <f>IF(AE160&lt;Valores!$E$40,-0.02,IF(AE160&lt;Valores!$F$40,-0.03,-0.04))*AE160</f>
        <v>-10329.156639999999</v>
      </c>
      <c r="AK160" s="113">
        <f>AE160*Valores!$C$42</f>
        <v>-28405.180759999999</v>
      </c>
      <c r="AL160" s="113">
        <f>Valores!$C$56</f>
        <v>-1270.1600000000001</v>
      </c>
      <c r="AM160" s="113">
        <f>IF($F$5=0,Valores!$C$57,(Valores!$C$57+$F$5*(Valores!$C$57)))</f>
        <v>-7026</v>
      </c>
      <c r="AN160" s="113">
        <f t="shared" si="28"/>
        <v>474044.97308000003</v>
      </c>
      <c r="AO160" s="113">
        <f t="shared" si="22"/>
        <v>-56810.361519999999</v>
      </c>
      <c r="AP160" s="113">
        <f t="shared" si="29"/>
        <v>-10329.156639999999</v>
      </c>
      <c r="AQ160" s="113">
        <f>AE160*Valores!$C$43</f>
        <v>-13944.361464</v>
      </c>
      <c r="AR160" s="113">
        <f>AE160*Valores!$C$44</f>
        <v>-1549.3734959999999</v>
      </c>
      <c r="AS160" s="113">
        <f t="shared" si="24"/>
        <v>495252.57887999993</v>
      </c>
      <c r="AT160" s="113">
        <f>AE160*Valores!$C$46</f>
        <v>82633.253119999994</v>
      </c>
      <c r="AU160" s="113">
        <f>AE160*Valores!$C$47</f>
        <v>36152.048240000004</v>
      </c>
      <c r="AV160" s="113">
        <f>AE160*Valores!$C$48</f>
        <v>5164.5783199999996</v>
      </c>
      <c r="AW160" s="113">
        <f>AE160*Valores!$C$50</f>
        <v>18076.024120000002</v>
      </c>
      <c r="AX160" s="113">
        <f>AE160*Valores!$C$52</f>
        <v>27888.722927999999</v>
      </c>
      <c r="AY160" s="113">
        <f>AE160*Valores!$C$51</f>
        <v>3098.7469919999999</v>
      </c>
      <c r="AZ160" s="114"/>
      <c r="BA160" s="114"/>
      <c r="BB160" s="111" t="s">
        <v>4</v>
      </c>
    </row>
    <row r="161" spans="1:54" s="100" customFormat="1" ht="11.25" customHeight="1" x14ac:dyDescent="0.15">
      <c r="A161" s="111" t="s">
        <v>373</v>
      </c>
      <c r="B161" s="111">
        <v>1</v>
      </c>
      <c r="C161" s="114">
        <v>154</v>
      </c>
      <c r="D161" s="112" t="s">
        <v>374</v>
      </c>
      <c r="E161" s="169">
        <v>1065</v>
      </c>
      <c r="F161" s="113">
        <f>ROUND(E161*Valores!$C$2,2)</f>
        <v>104163.39</v>
      </c>
      <c r="G161" s="169">
        <v>0</v>
      </c>
      <c r="H161" s="113">
        <f>ROUND(G161*Valores!$C$2,2)</f>
        <v>0</v>
      </c>
      <c r="I161" s="169">
        <v>0</v>
      </c>
      <c r="J161" s="113">
        <f>ROUND(I161*Valores!$C$2,2)</f>
        <v>0</v>
      </c>
      <c r="K161" s="169">
        <v>0</v>
      </c>
      <c r="L161" s="113">
        <f>ROUND(K161*Valores!$C$2,2)</f>
        <v>0</v>
      </c>
      <c r="M161" s="113">
        <f>ROUND(IF($H$2=0,IF(AND(A161&lt;&gt;"13-930",A161&lt;&gt;"13-940"),(SUM(F161,H161,J161,L161,W161,S161,Q161)*Valores!$C$4),0),0),2)</f>
        <v>45864.76</v>
      </c>
      <c r="N161" s="113">
        <f t="shared" si="25"/>
        <v>0</v>
      </c>
      <c r="O161" s="113">
        <f>Valores!C$73</f>
        <v>198577.36</v>
      </c>
      <c r="P161" s="113">
        <f>Valores!$D$5</f>
        <v>49998.43</v>
      </c>
      <c r="Q161" s="113">
        <f>IF($F$4="NO",Valores!$C$22,Valores!$C$22/2)</f>
        <v>32774.300000000003</v>
      </c>
      <c r="R161" s="113">
        <f>Valores!$C$8</f>
        <v>46521.33</v>
      </c>
      <c r="S161" s="113">
        <f t="shared" si="30"/>
        <v>46521.33</v>
      </c>
      <c r="T161" s="113">
        <v>0</v>
      </c>
      <c r="U161" s="113">
        <v>0</v>
      </c>
      <c r="V161" s="169">
        <v>0</v>
      </c>
      <c r="W161" s="113">
        <f>ROUND(V161*Valores!$C$2,2)</f>
        <v>0</v>
      </c>
      <c r="X161" s="113">
        <v>0</v>
      </c>
      <c r="Y161" s="188">
        <v>0</v>
      </c>
      <c r="Z161" s="113">
        <f t="shared" si="26"/>
        <v>0</v>
      </c>
      <c r="AA161" s="169">
        <v>0</v>
      </c>
      <c r="AB161" s="113">
        <f>ROUND(AA161*Valores!$C$2,2)</f>
        <v>0</v>
      </c>
      <c r="AC161" s="113">
        <f>ROUND(IF($F$4="NO",Valores!$C$32,Valores!$C$32/2),2)</f>
        <v>23377.77</v>
      </c>
      <c r="AD161" s="113">
        <f>SUM(F161,H161,J161,L161,M161,N161,O161,P161,Q161,S161,T161,U161,W161,X161,Z161,AB161,AC161)*Valores!$C$58</f>
        <v>50127.734000000004</v>
      </c>
      <c r="AE161" s="113">
        <f t="shared" si="27"/>
        <v>551405.07400000002</v>
      </c>
      <c r="AF161" s="113">
        <f>Valores!$C$11</f>
        <v>36428</v>
      </c>
      <c r="AG161" s="113">
        <f>Valores!$C$59</f>
        <v>25000</v>
      </c>
      <c r="AH161" s="113">
        <f t="shared" si="23"/>
        <v>61428</v>
      </c>
      <c r="AI161" s="113">
        <f>AE161*Valores!$C$39</f>
        <v>-60654.558140000001</v>
      </c>
      <c r="AJ161" s="113">
        <f>IF(AE161&lt;Valores!$E$40,-0.02,IF(AE161&lt;Valores!$F$40,-0.03,-0.04))*AE161</f>
        <v>-11028.101480000001</v>
      </c>
      <c r="AK161" s="113">
        <f>AE161*Valores!$C$42</f>
        <v>-30327.279070000001</v>
      </c>
      <c r="AL161" s="113">
        <f>Valores!$C$56</f>
        <v>-1270.1600000000001</v>
      </c>
      <c r="AM161" s="113">
        <f>IF($F$5=0,Valores!$C$57,(Valores!$C$57+$F$5*(Valores!$C$57)))</f>
        <v>-7026</v>
      </c>
      <c r="AN161" s="113">
        <f t="shared" si="28"/>
        <v>502526.97531000001</v>
      </c>
      <c r="AO161" s="113">
        <f t="shared" si="22"/>
        <v>-60654.558140000001</v>
      </c>
      <c r="AP161" s="113">
        <f t="shared" si="29"/>
        <v>-11028.101480000001</v>
      </c>
      <c r="AQ161" s="113">
        <f>AE161*Valores!$C$43</f>
        <v>-14887.936998000001</v>
      </c>
      <c r="AR161" s="113">
        <f>AE161*Valores!$C$44</f>
        <v>-1654.215222</v>
      </c>
      <c r="AS161" s="113">
        <f t="shared" si="24"/>
        <v>524608.26216000004</v>
      </c>
      <c r="AT161" s="113">
        <f>AE161*Valores!$C$46</f>
        <v>88224.811840000009</v>
      </c>
      <c r="AU161" s="113">
        <f>AE161*Valores!$C$47</f>
        <v>38598.355180000006</v>
      </c>
      <c r="AV161" s="113">
        <f>AE161*Valores!$C$48</f>
        <v>5514.0507400000006</v>
      </c>
      <c r="AW161" s="113">
        <f>AE161*Valores!$C$50</f>
        <v>19299.177590000003</v>
      </c>
      <c r="AX161" s="113">
        <f>AE161*Valores!$C$52</f>
        <v>29775.873996000002</v>
      </c>
      <c r="AY161" s="113">
        <f>AE161*Valores!$C$51</f>
        <v>3308.4304440000001</v>
      </c>
      <c r="AZ161" s="114"/>
      <c r="BA161" s="114">
        <v>27</v>
      </c>
      <c r="BB161" s="111" t="s">
        <v>4</v>
      </c>
    </row>
    <row r="162" spans="1:54" s="100" customFormat="1" ht="11.25" customHeight="1" x14ac:dyDescent="0.15">
      <c r="A162" s="111" t="s">
        <v>373</v>
      </c>
      <c r="B162" s="111">
        <v>1</v>
      </c>
      <c r="C162" s="114">
        <v>155</v>
      </c>
      <c r="D162" s="112" t="s">
        <v>375</v>
      </c>
      <c r="E162" s="169">
        <v>1065</v>
      </c>
      <c r="F162" s="113">
        <f>ROUND(E162*Valores!$C$2,2)</f>
        <v>104163.39</v>
      </c>
      <c r="G162" s="169">
        <v>0</v>
      </c>
      <c r="H162" s="113">
        <f>ROUND(G162*Valores!$C$2,2)</f>
        <v>0</v>
      </c>
      <c r="I162" s="169">
        <v>0</v>
      </c>
      <c r="J162" s="113">
        <f>ROUND(I162*Valores!$C$2,2)</f>
        <v>0</v>
      </c>
      <c r="K162" s="169">
        <v>0</v>
      </c>
      <c r="L162" s="113">
        <f>ROUND(K162*Valores!$C$2,2)</f>
        <v>0</v>
      </c>
      <c r="M162" s="113">
        <f>ROUND(IF($H$2=0,IF(AND(A162&lt;&gt;"13-930",A162&lt;&gt;"13-940"),(SUM(F162,H162,J162,L162,W162,S162,Q162)*Valores!$C$4),0),0),2)</f>
        <v>45864.76</v>
      </c>
      <c r="N162" s="113">
        <f t="shared" si="25"/>
        <v>0</v>
      </c>
      <c r="O162" s="113">
        <f>Valores!C$73</f>
        <v>198577.36</v>
      </c>
      <c r="P162" s="113">
        <f>Valores!$D$5</f>
        <v>49998.43</v>
      </c>
      <c r="Q162" s="113">
        <f>IF($F$4="NO",Valores!$C$22,Valores!$C$22/2)</f>
        <v>32774.300000000003</v>
      </c>
      <c r="R162" s="113">
        <f>Valores!$C$8</f>
        <v>46521.33</v>
      </c>
      <c r="S162" s="113">
        <f t="shared" si="30"/>
        <v>46521.33</v>
      </c>
      <c r="T162" s="113">
        <v>0</v>
      </c>
      <c r="U162" s="113">
        <v>0</v>
      </c>
      <c r="V162" s="169">
        <v>0</v>
      </c>
      <c r="W162" s="113">
        <f>ROUND(V162*Valores!$C$2,2)</f>
        <v>0</v>
      </c>
      <c r="X162" s="113">
        <v>0</v>
      </c>
      <c r="Y162" s="188">
        <v>0</v>
      </c>
      <c r="Z162" s="113">
        <f t="shared" si="26"/>
        <v>0</v>
      </c>
      <c r="AA162" s="169">
        <v>94</v>
      </c>
      <c r="AB162" s="113">
        <f>ROUND(AA162*Valores!$C$2,2)</f>
        <v>9193.76</v>
      </c>
      <c r="AC162" s="113">
        <f>ROUND(IF($F$4="NO",Valores!$C$32,Valores!$C$32/2),2)</f>
        <v>23377.77</v>
      </c>
      <c r="AD162" s="113">
        <f>SUM(F162,H162,J162,L162,M162,N162,O162,P162,Q162,S162,T162,U162,W162,X162,Z162,AB162,AC162)*Valores!$C$58</f>
        <v>51047.110000000008</v>
      </c>
      <c r="AE162" s="113">
        <f t="shared" si="27"/>
        <v>561518.21000000008</v>
      </c>
      <c r="AF162" s="113">
        <f>Valores!$C$11</f>
        <v>36428</v>
      </c>
      <c r="AG162" s="113">
        <f>Valores!$C$59</f>
        <v>25000</v>
      </c>
      <c r="AH162" s="113">
        <f t="shared" si="23"/>
        <v>61428</v>
      </c>
      <c r="AI162" s="113">
        <f>AE162*Valores!$C$39</f>
        <v>-61767.003100000009</v>
      </c>
      <c r="AJ162" s="113">
        <f>IF(AE162&lt;Valores!$E$40,-0.02,IF(AE162&lt;Valores!$F$40,-0.03,-0.04))*AE162</f>
        <v>-11230.364200000002</v>
      </c>
      <c r="AK162" s="113">
        <f>AE162*Valores!$C$42</f>
        <v>-30883.501550000004</v>
      </c>
      <c r="AL162" s="113">
        <f>Valores!$C$56</f>
        <v>-1270.1600000000001</v>
      </c>
      <c r="AM162" s="113">
        <f>IF($F$5=0,Valores!$C$57,(Valores!$C$57+$F$5*(Valores!$C$57)))</f>
        <v>-7026</v>
      </c>
      <c r="AN162" s="113">
        <f t="shared" si="28"/>
        <v>510769.18115000008</v>
      </c>
      <c r="AO162" s="113">
        <f t="shared" si="22"/>
        <v>-61767.003100000009</v>
      </c>
      <c r="AP162" s="113">
        <f t="shared" si="29"/>
        <v>-11230.364200000002</v>
      </c>
      <c r="AQ162" s="113">
        <f>AE162*Valores!$C$43</f>
        <v>-15160.991670000001</v>
      </c>
      <c r="AR162" s="113">
        <f>AE162*Valores!$C$44</f>
        <v>-1684.5546300000003</v>
      </c>
      <c r="AS162" s="113">
        <f t="shared" si="24"/>
        <v>533103.29640000011</v>
      </c>
      <c r="AT162" s="113">
        <f>AE162*Valores!$C$46</f>
        <v>89842.913600000014</v>
      </c>
      <c r="AU162" s="113">
        <f>AE162*Valores!$C$47</f>
        <v>39306.274700000009</v>
      </c>
      <c r="AV162" s="113">
        <f>AE162*Valores!$C$48</f>
        <v>5615.1821000000009</v>
      </c>
      <c r="AW162" s="113">
        <f>AE162*Valores!$C$50</f>
        <v>19653.137350000005</v>
      </c>
      <c r="AX162" s="113">
        <f>AE162*Valores!$C$52</f>
        <v>30321.983340000002</v>
      </c>
      <c r="AY162" s="113">
        <f>AE162*Valores!$C$51</f>
        <v>3369.1092600000006</v>
      </c>
      <c r="AZ162" s="114"/>
      <c r="BA162" s="114">
        <v>27</v>
      </c>
      <c r="BB162" s="111" t="s">
        <v>4</v>
      </c>
    </row>
    <row r="163" spans="1:54" s="100" customFormat="1" ht="11.25" customHeight="1" x14ac:dyDescent="0.15">
      <c r="A163" s="111" t="s">
        <v>376</v>
      </c>
      <c r="B163" s="111">
        <v>1</v>
      </c>
      <c r="C163" s="114">
        <v>156</v>
      </c>
      <c r="D163" s="112" t="s">
        <v>377</v>
      </c>
      <c r="E163" s="169">
        <v>98</v>
      </c>
      <c r="F163" s="113">
        <f>ROUND(E163*Valores!$C$2,2)</f>
        <v>9584.99</v>
      </c>
      <c r="G163" s="169">
        <v>2686</v>
      </c>
      <c r="H163" s="113">
        <f>ROUND(G163*Valores!$C$2,2)</f>
        <v>262706.92</v>
      </c>
      <c r="I163" s="169">
        <v>0</v>
      </c>
      <c r="J163" s="113">
        <f>ROUND(I163*Valores!$C$2,2)</f>
        <v>0</v>
      </c>
      <c r="K163" s="169">
        <v>0</v>
      </c>
      <c r="L163" s="113">
        <f>ROUND(K163*Valores!$C$2,2)</f>
        <v>0</v>
      </c>
      <c r="M163" s="113">
        <f>ROUND(IF($H$2=0,IF(AND(A163&lt;&gt;"13-930",A163&lt;&gt;"13-940"),(SUM(F163,H163,J163,L163,W163,S163,Q163)*Valores!$C$4),0),0),2)</f>
        <v>109885.66</v>
      </c>
      <c r="N163" s="113">
        <f t="shared" si="25"/>
        <v>0</v>
      </c>
      <c r="O163" s="113">
        <f>Valores!C$88</f>
        <v>308197.53999999998</v>
      </c>
      <c r="P163" s="113">
        <f>Valores!$D$5</f>
        <v>49998.43</v>
      </c>
      <c r="Q163" s="113">
        <f>IF($F$4="NO",Valores!$C$26,Valores!$C$26/2)</f>
        <v>52265.18</v>
      </c>
      <c r="R163" s="113">
        <f>Valores!$C$8</f>
        <v>46521.33</v>
      </c>
      <c r="S163" s="113">
        <f t="shared" si="30"/>
        <v>46521.33</v>
      </c>
      <c r="T163" s="113">
        <v>0</v>
      </c>
      <c r="U163" s="113">
        <v>0</v>
      </c>
      <c r="V163" s="169">
        <v>700</v>
      </c>
      <c r="W163" s="113">
        <f>ROUND(V163*Valores!$C$2,2)</f>
        <v>68464.2</v>
      </c>
      <c r="X163" s="113">
        <f>ROUND(SUM(F163,H163,J163,Q163)*Valores!$C$3,2)</f>
        <v>48683.56</v>
      </c>
      <c r="Y163" s="188">
        <v>0</v>
      </c>
      <c r="Z163" s="113">
        <f t="shared" si="26"/>
        <v>0</v>
      </c>
      <c r="AA163" s="169">
        <v>94</v>
      </c>
      <c r="AB163" s="113">
        <f>ROUND(AA163*Valores!$C$2,2)</f>
        <v>9193.76</v>
      </c>
      <c r="AC163" s="113">
        <f>ROUND(IF($F$4="NO",Valores!$C$32,Valores!$C$32/2),2)</f>
        <v>23377.77</v>
      </c>
      <c r="AD163" s="113">
        <f>SUM(F163,H163,J163,L163,M163,N163,O163,P163,Q163,S163,T163,U163,W163,X163,Z163,AB163,AC163)*Valores!$C$58</f>
        <v>98887.933999999994</v>
      </c>
      <c r="AE163" s="113">
        <f t="shared" si="27"/>
        <v>1087767.2739999997</v>
      </c>
      <c r="AF163" s="113">
        <f>Valores!$C$12</f>
        <v>72856</v>
      </c>
      <c r="AG163" s="113">
        <f>Valores!$C$59</f>
        <v>25000</v>
      </c>
      <c r="AH163" s="113">
        <f t="shared" si="23"/>
        <v>97856</v>
      </c>
      <c r="AI163" s="113">
        <f>AE163*Valores!$C$39</f>
        <v>-119654.40013999997</v>
      </c>
      <c r="AJ163" s="113">
        <f>IF(AE163&lt;Valores!$E$40,-0.02,IF(AE163&lt;Valores!$F$40,-0.03,-0.04))*AE163</f>
        <v>-43510.690959999993</v>
      </c>
      <c r="AK163" s="113">
        <f>AE163*Valores!$C$42</f>
        <v>-59827.200069999984</v>
      </c>
      <c r="AL163" s="113">
        <f>Valores!$C$56</f>
        <v>-1270.1600000000001</v>
      </c>
      <c r="AM163" s="113">
        <f>IF($F$5=0,Valores!$C$57,(Valores!$C$57+$F$5*(Valores!$C$57)))</f>
        <v>-7026</v>
      </c>
      <c r="AN163" s="113">
        <f t="shared" si="28"/>
        <v>954334.82282999973</v>
      </c>
      <c r="AO163" s="113">
        <f t="shared" si="22"/>
        <v>-119654.40013999997</v>
      </c>
      <c r="AP163" s="113">
        <f t="shared" si="29"/>
        <v>-43510.690959999993</v>
      </c>
      <c r="AQ163" s="113">
        <f>AE163*Valores!$C$43</f>
        <v>-29369.716397999993</v>
      </c>
      <c r="AR163" s="113">
        <f>AE163*Valores!$C$44</f>
        <v>-3263.3018219999994</v>
      </c>
      <c r="AS163" s="113">
        <f t="shared" si="24"/>
        <v>989825.16467999981</v>
      </c>
      <c r="AT163" s="113">
        <f>AE163*Valores!$C$46</f>
        <v>174042.76383999997</v>
      </c>
      <c r="AU163" s="113">
        <f>AE163*Valores!$C$47</f>
        <v>76143.709179999991</v>
      </c>
      <c r="AV163" s="113">
        <f>AE163*Valores!$C$48</f>
        <v>10877.672739999998</v>
      </c>
      <c r="AW163" s="113">
        <f>AE163*Valores!$C$50</f>
        <v>38071.854589999995</v>
      </c>
      <c r="AX163" s="113">
        <f>AE163*Valores!$C$52</f>
        <v>58739.432795999986</v>
      </c>
      <c r="AY163" s="113">
        <f>AE163*Valores!$C$51</f>
        <v>6526.6036439999989</v>
      </c>
      <c r="AZ163" s="114"/>
      <c r="BA163" s="114">
        <v>45</v>
      </c>
      <c r="BB163" s="111" t="s">
        <v>8</v>
      </c>
    </row>
    <row r="164" spans="1:54" s="100" customFormat="1" ht="11.25" customHeight="1" x14ac:dyDescent="0.15">
      <c r="A164" s="111" t="s">
        <v>378</v>
      </c>
      <c r="B164" s="111">
        <v>1</v>
      </c>
      <c r="C164" s="114">
        <v>157</v>
      </c>
      <c r="D164" s="112" t="s">
        <v>379</v>
      </c>
      <c r="E164" s="169">
        <v>93</v>
      </c>
      <c r="F164" s="113">
        <f>ROUND(E164*Valores!$C$2,2)</f>
        <v>9095.9599999999991</v>
      </c>
      <c r="G164" s="169">
        <v>2547</v>
      </c>
      <c r="H164" s="113">
        <f>ROUND(G164*Valores!$C$2,2)</f>
        <v>249111.88</v>
      </c>
      <c r="I164" s="169">
        <v>0</v>
      </c>
      <c r="J164" s="113">
        <f>ROUND(I164*Valores!$C$2,2)</f>
        <v>0</v>
      </c>
      <c r="K164" s="169">
        <v>0</v>
      </c>
      <c r="L164" s="113">
        <f>ROUND(K164*Valores!$C$2,2)</f>
        <v>0</v>
      </c>
      <c r="M164" s="113">
        <f>ROUND(IF($H$2=0,IF(AND(A164&lt;&gt;"13-930",A164&lt;&gt;"13-940"),(SUM(F164,H164,J164,L164,W164,S164,Q164)*Valores!$C$4),0),0),2)</f>
        <v>106364.64</v>
      </c>
      <c r="N164" s="113">
        <f t="shared" si="25"/>
        <v>0</v>
      </c>
      <c r="O164" s="113">
        <f>Valores!C$87</f>
        <v>270128.75</v>
      </c>
      <c r="P164" s="113">
        <f>Valores!$D$5</f>
        <v>49998.43</v>
      </c>
      <c r="Q164" s="113">
        <f>IF($F$4="NO",Valores!$C$26,Valores!$C$26/2)</f>
        <v>52265.18</v>
      </c>
      <c r="R164" s="113">
        <f>Valores!$C$8</f>
        <v>46521.33</v>
      </c>
      <c r="S164" s="113">
        <f t="shared" si="30"/>
        <v>46521.33</v>
      </c>
      <c r="T164" s="113">
        <v>0</v>
      </c>
      <c r="U164" s="113">
        <v>0</v>
      </c>
      <c r="V164" s="169">
        <v>700</v>
      </c>
      <c r="W164" s="113">
        <f>ROUND(V164*Valores!$C$2,2)</f>
        <v>68464.2</v>
      </c>
      <c r="X164" s="113">
        <f>ROUND(SUM(F164,H164,J164,Q164)*Valores!$C$3,2)</f>
        <v>46570.95</v>
      </c>
      <c r="Y164" s="188">
        <v>0</v>
      </c>
      <c r="Z164" s="113">
        <f t="shared" si="26"/>
        <v>0</v>
      </c>
      <c r="AA164" s="169">
        <v>94</v>
      </c>
      <c r="AB164" s="113">
        <f>ROUND(AA164*Valores!$C$2,2)</f>
        <v>9193.76</v>
      </c>
      <c r="AC164" s="113">
        <f>ROUND(IF($F$4="NO",Valores!$C$32,Valores!$C$32/2),2)</f>
        <v>23377.77</v>
      </c>
      <c r="AD164" s="113">
        <f>SUM(F164,H164,J164,L164,M164,N164,O164,P164,Q164,S164,T164,U164,W164,X164,Z164,AB164,AC164)*Valores!$C$58</f>
        <v>93109.285000000003</v>
      </c>
      <c r="AE164" s="113">
        <f t="shared" si="27"/>
        <v>1024202.135</v>
      </c>
      <c r="AF164" s="113">
        <f>Valores!$C$12</f>
        <v>72856</v>
      </c>
      <c r="AG164" s="113">
        <f>Valores!$C$59</f>
        <v>25000</v>
      </c>
      <c r="AH164" s="113">
        <f t="shared" si="23"/>
        <v>97856</v>
      </c>
      <c r="AI164" s="113">
        <f>AE164*Valores!$C$39</f>
        <v>-112662.23485000001</v>
      </c>
      <c r="AJ164" s="113">
        <f>IF(AE164&lt;Valores!$E$40,-0.02,IF(AE164&lt;Valores!$F$40,-0.03,-0.04))*AE164</f>
        <v>-40968.085400000004</v>
      </c>
      <c r="AK164" s="113">
        <f>AE164*Valores!$C$42</f>
        <v>-56331.117425000004</v>
      </c>
      <c r="AL164" s="113">
        <f>Valores!$C$56</f>
        <v>-1270.1600000000001</v>
      </c>
      <c r="AM164" s="113">
        <f>IF($F$5=0,Valores!$C$57,(Valores!$C$57+$F$5*(Valores!$C$57)))</f>
        <v>-7026</v>
      </c>
      <c r="AN164" s="113">
        <f t="shared" si="28"/>
        <v>903800.53732499992</v>
      </c>
      <c r="AO164" s="113">
        <f t="shared" si="22"/>
        <v>-112662.23485000001</v>
      </c>
      <c r="AP164" s="113">
        <f t="shared" si="29"/>
        <v>-40968.085400000004</v>
      </c>
      <c r="AQ164" s="113">
        <f>AE164*Valores!$C$43</f>
        <v>-27653.457644999999</v>
      </c>
      <c r="AR164" s="113">
        <f>AE164*Valores!$C$44</f>
        <v>-3072.606405</v>
      </c>
      <c r="AS164" s="113">
        <f t="shared" si="24"/>
        <v>937701.75069999998</v>
      </c>
      <c r="AT164" s="113">
        <f>AE164*Valores!$C$46</f>
        <v>163872.34160000001</v>
      </c>
      <c r="AU164" s="113">
        <f>AE164*Valores!$C$47</f>
        <v>71694.149450000012</v>
      </c>
      <c r="AV164" s="113">
        <f>AE164*Valores!$C$48</f>
        <v>10242.021350000001</v>
      </c>
      <c r="AW164" s="113">
        <f>AE164*Valores!$C$50</f>
        <v>35847.074725000006</v>
      </c>
      <c r="AX164" s="113">
        <f>AE164*Valores!$C$52</f>
        <v>55306.915289999997</v>
      </c>
      <c r="AY164" s="113">
        <f>AE164*Valores!$C$51</f>
        <v>6145.21281</v>
      </c>
      <c r="AZ164" s="114"/>
      <c r="BA164" s="114">
        <v>45</v>
      </c>
      <c r="BB164" s="111" t="s">
        <v>8</v>
      </c>
    </row>
    <row r="165" spans="1:54" s="100" customFormat="1" ht="11.25" customHeight="1" x14ac:dyDescent="0.15">
      <c r="A165" s="111" t="s">
        <v>380</v>
      </c>
      <c r="B165" s="111">
        <v>1</v>
      </c>
      <c r="C165" s="114">
        <v>158</v>
      </c>
      <c r="D165" s="112" t="s">
        <v>381</v>
      </c>
      <c r="E165" s="169">
        <v>89</v>
      </c>
      <c r="F165" s="113">
        <f>ROUND(E165*Valores!$C$2,2)</f>
        <v>8704.73</v>
      </c>
      <c r="G165" s="169">
        <v>2251</v>
      </c>
      <c r="H165" s="113">
        <f>ROUND(G165*Valores!$C$2,2)</f>
        <v>220161.31</v>
      </c>
      <c r="I165" s="169">
        <v>0</v>
      </c>
      <c r="J165" s="113">
        <f>ROUND(I165*Valores!$C$2,2)</f>
        <v>0</v>
      </c>
      <c r="K165" s="169">
        <v>0</v>
      </c>
      <c r="L165" s="113">
        <f>ROUND(K165*Valores!$C$2,2)</f>
        <v>0</v>
      </c>
      <c r="M165" s="113">
        <f>ROUND(IF($H$2=0,IF(AND(A165&lt;&gt;"13-930",A165&lt;&gt;"13-940"),(SUM(F165,H165,J165,L165,W165,S165,Q165)*Valores!$C$4),0),0),2)</f>
        <v>99029.19</v>
      </c>
      <c r="N165" s="113">
        <f t="shared" si="25"/>
        <v>0</v>
      </c>
      <c r="O165" s="113">
        <f>Valores!C$87</f>
        <v>270128.75</v>
      </c>
      <c r="P165" s="113">
        <f>Valores!$D$5</f>
        <v>49998.43</v>
      </c>
      <c r="Q165" s="113">
        <f>IF($F$4="NO",Valores!$C$26,Valores!$C$26/2)</f>
        <v>52265.18</v>
      </c>
      <c r="R165" s="113">
        <f>Valores!$C$8</f>
        <v>46521.33</v>
      </c>
      <c r="S165" s="113">
        <f t="shared" si="30"/>
        <v>46521.33</v>
      </c>
      <c r="T165" s="113">
        <v>0</v>
      </c>
      <c r="U165" s="113">
        <v>0</v>
      </c>
      <c r="V165" s="169">
        <v>700</v>
      </c>
      <c r="W165" s="113">
        <f>ROUND(V165*Valores!$C$2,2)</f>
        <v>68464.2</v>
      </c>
      <c r="X165" s="113">
        <f>ROUND(SUM(F165,H165,J165,Q165)*Valores!$C$3,2)</f>
        <v>42169.68</v>
      </c>
      <c r="Y165" s="188">
        <v>0</v>
      </c>
      <c r="Z165" s="113">
        <f t="shared" si="26"/>
        <v>0</v>
      </c>
      <c r="AA165" s="169">
        <v>94</v>
      </c>
      <c r="AB165" s="113">
        <f>ROUND(AA165*Valores!$C$2,2)</f>
        <v>9193.76</v>
      </c>
      <c r="AC165" s="113">
        <f>ROUND(IF($F$4="NO",Valores!$C$32,Valores!$C$32/2),2)</f>
        <v>23377.77</v>
      </c>
      <c r="AD165" s="113">
        <f>SUM(F165,H165,J165,L165,M165,N165,O165,P165,Q165,S165,T165,U165,W165,X165,Z165,AB165,AC165)*Valores!$C$58</f>
        <v>89001.433000000019</v>
      </c>
      <c r="AE165" s="113">
        <f t="shared" si="27"/>
        <v>979015.76300000004</v>
      </c>
      <c r="AF165" s="113">
        <f>Valores!$C$12</f>
        <v>72856</v>
      </c>
      <c r="AG165" s="113">
        <f>Valores!$C$59</f>
        <v>25000</v>
      </c>
      <c r="AH165" s="113">
        <f t="shared" si="23"/>
        <v>97856</v>
      </c>
      <c r="AI165" s="113">
        <f>AE165*Valores!$C$39</f>
        <v>-107691.73393</v>
      </c>
      <c r="AJ165" s="113">
        <f>IF(AE165&lt;Valores!$E$40,-0.02,IF(AE165&lt;Valores!$F$40,-0.03,-0.04))*AE165</f>
        <v>-29370.472890000001</v>
      </c>
      <c r="AK165" s="113">
        <f>AE165*Valores!$C$42</f>
        <v>-53845.866965000001</v>
      </c>
      <c r="AL165" s="113">
        <f>Valores!$C$56</f>
        <v>-1270.1600000000001</v>
      </c>
      <c r="AM165" s="113">
        <f>IF($F$5=0,Valores!$C$57,(Valores!$C$57+$F$5*(Valores!$C$57)))</f>
        <v>-7026</v>
      </c>
      <c r="AN165" s="113">
        <f t="shared" si="28"/>
        <v>877667.52921499999</v>
      </c>
      <c r="AO165" s="113">
        <f t="shared" si="22"/>
        <v>-107691.73393</v>
      </c>
      <c r="AP165" s="113">
        <f t="shared" si="29"/>
        <v>-29370.472890000001</v>
      </c>
      <c r="AQ165" s="113">
        <f>AE165*Valores!$C$43</f>
        <v>-26433.425600999999</v>
      </c>
      <c r="AR165" s="113">
        <f>AE165*Valores!$C$44</f>
        <v>-2937.0472890000001</v>
      </c>
      <c r="AS165" s="113">
        <f t="shared" si="24"/>
        <v>910439.08328999998</v>
      </c>
      <c r="AT165" s="113">
        <f>AE165*Valores!$C$46</f>
        <v>156642.52208</v>
      </c>
      <c r="AU165" s="113">
        <f>AE165*Valores!$C$47</f>
        <v>68531.103410000011</v>
      </c>
      <c r="AV165" s="113">
        <f>AE165*Valores!$C$48</f>
        <v>9790.1576299999997</v>
      </c>
      <c r="AW165" s="113">
        <f>AE165*Valores!$C$50</f>
        <v>34265.551705000005</v>
      </c>
      <c r="AX165" s="113">
        <f>AE165*Valores!$C$52</f>
        <v>52866.851201999998</v>
      </c>
      <c r="AY165" s="113">
        <f>AE165*Valores!$C$51</f>
        <v>5874.0945780000002</v>
      </c>
      <c r="AZ165" s="114"/>
      <c r="BA165" s="114">
        <v>45</v>
      </c>
      <c r="BB165" s="111" t="s">
        <v>8</v>
      </c>
    </row>
    <row r="166" spans="1:54" s="100" customFormat="1" ht="11.25" customHeight="1" x14ac:dyDescent="0.15">
      <c r="A166" s="111" t="s">
        <v>382</v>
      </c>
      <c r="B166" s="111">
        <v>1</v>
      </c>
      <c r="C166" s="114">
        <v>159</v>
      </c>
      <c r="D166" s="112" t="s">
        <v>383</v>
      </c>
      <c r="E166" s="169">
        <v>83</v>
      </c>
      <c r="F166" s="113">
        <f>ROUND(E166*Valores!$C$2,2)</f>
        <v>8117.9</v>
      </c>
      <c r="G166" s="169">
        <v>2352</v>
      </c>
      <c r="H166" s="113">
        <f>ROUND(G166*Valores!$C$2,2)</f>
        <v>230039.71</v>
      </c>
      <c r="I166" s="169">
        <v>0</v>
      </c>
      <c r="J166" s="113">
        <f>ROUND(I166*Valores!$C$2,2)</f>
        <v>0</v>
      </c>
      <c r="K166" s="169">
        <v>0</v>
      </c>
      <c r="L166" s="113">
        <f>ROUND(K166*Valores!$C$2,2)</f>
        <v>0</v>
      </c>
      <c r="M166" s="113">
        <f>ROUND(IF($H$2=0,IF(AND(A166&lt;&gt;"13-930",A166&lt;&gt;"13-940"),(SUM(F166,H166,J166,L166,W166,S166,Q166)*Valores!$C$4),0),0),2)</f>
        <v>101352.08</v>
      </c>
      <c r="N166" s="113">
        <f t="shared" si="25"/>
        <v>0</v>
      </c>
      <c r="O166" s="113">
        <f>Valores!C$79</f>
        <v>225525.04</v>
      </c>
      <c r="P166" s="113">
        <f>Valores!$D$5</f>
        <v>49998.43</v>
      </c>
      <c r="Q166" s="113">
        <f>IF($F$4="NO",Valores!$C$26,Valores!$C$26/2)</f>
        <v>52265.18</v>
      </c>
      <c r="R166" s="113">
        <f>Valores!$C$8</f>
        <v>46521.33</v>
      </c>
      <c r="S166" s="113">
        <f t="shared" si="30"/>
        <v>46521.33</v>
      </c>
      <c r="T166" s="113">
        <v>0</v>
      </c>
      <c r="U166" s="113">
        <v>0</v>
      </c>
      <c r="V166" s="169">
        <v>700</v>
      </c>
      <c r="W166" s="113">
        <f>ROUND(V166*Valores!$C$2,2)</f>
        <v>68464.2</v>
      </c>
      <c r="X166" s="113">
        <f>ROUND(SUM(F166,H166,J166,Q166)*Valores!$C$3,2)</f>
        <v>43563.42</v>
      </c>
      <c r="Y166" s="188">
        <v>0</v>
      </c>
      <c r="Z166" s="113">
        <f t="shared" si="26"/>
        <v>0</v>
      </c>
      <c r="AA166" s="169">
        <v>94</v>
      </c>
      <c r="AB166" s="113">
        <f>ROUND(AA166*Valores!$C$2,2)</f>
        <v>9193.76</v>
      </c>
      <c r="AC166" s="113">
        <f>ROUND(IF($F$4="NO",Valores!$C$32,Valores!$C$32/2),2)</f>
        <v>23377.77</v>
      </c>
      <c r="AD166" s="113">
        <f>SUM(F166,H166,J166,L166,M166,N166,O166,P166,Q166,S166,T166,U166,W166,X166,Z166,AB166,AC166)*Valores!$C$58</f>
        <v>85841.882000000012</v>
      </c>
      <c r="AE166" s="113">
        <f t="shared" si="27"/>
        <v>944260.70200000005</v>
      </c>
      <c r="AF166" s="113">
        <f>Valores!$C$12</f>
        <v>72856</v>
      </c>
      <c r="AG166" s="113">
        <f>Valores!$C$59</f>
        <v>25000</v>
      </c>
      <c r="AH166" s="113">
        <f t="shared" si="23"/>
        <v>97856</v>
      </c>
      <c r="AI166" s="113">
        <f>AE166*Valores!$C$39</f>
        <v>-103868.67722000001</v>
      </c>
      <c r="AJ166" s="113">
        <f>IF(AE166&lt;Valores!$E$40,-0.02,IF(AE166&lt;Valores!$F$40,-0.03,-0.04))*AE166</f>
        <v>-28327.821060000002</v>
      </c>
      <c r="AK166" s="113">
        <f>AE166*Valores!$C$42</f>
        <v>-51934.338610000006</v>
      </c>
      <c r="AL166" s="113">
        <f>Valores!$C$56</f>
        <v>-1270.1600000000001</v>
      </c>
      <c r="AM166" s="113">
        <f>IF($F$5=0,Valores!$C$57,(Valores!$C$57+$F$5*(Valores!$C$57)))</f>
        <v>-7026</v>
      </c>
      <c r="AN166" s="113">
        <f t="shared" si="28"/>
        <v>849689.70510999998</v>
      </c>
      <c r="AO166" s="113">
        <f t="shared" si="22"/>
        <v>-103868.67722000001</v>
      </c>
      <c r="AP166" s="113">
        <f t="shared" si="29"/>
        <v>-28327.821060000002</v>
      </c>
      <c r="AQ166" s="113">
        <f>AE166*Valores!$C$43</f>
        <v>-25495.038954</v>
      </c>
      <c r="AR166" s="113">
        <f>AE166*Valores!$C$44</f>
        <v>-2832.7821060000001</v>
      </c>
      <c r="AS166" s="113">
        <f t="shared" si="24"/>
        <v>881592.38266000012</v>
      </c>
      <c r="AT166" s="113">
        <f>AE166*Valores!$C$46</f>
        <v>151081.71232000002</v>
      </c>
      <c r="AU166" s="113">
        <f>AE166*Valores!$C$47</f>
        <v>66098.249140000014</v>
      </c>
      <c r="AV166" s="113">
        <f>AE166*Valores!$C$48</f>
        <v>9442.6070200000013</v>
      </c>
      <c r="AW166" s="113">
        <f>AE166*Valores!$C$50</f>
        <v>33049.124570000007</v>
      </c>
      <c r="AX166" s="113">
        <f>AE166*Valores!$C$52</f>
        <v>50990.077907999999</v>
      </c>
      <c r="AY166" s="113">
        <f>AE166*Valores!$C$51</f>
        <v>5665.5642120000002</v>
      </c>
      <c r="AZ166" s="114"/>
      <c r="BA166" s="114">
        <v>45</v>
      </c>
      <c r="BB166" s="111" t="s">
        <v>8</v>
      </c>
    </row>
    <row r="167" spans="1:54" s="100" customFormat="1" ht="11.25" customHeight="1" x14ac:dyDescent="0.15">
      <c r="A167" s="111" t="s">
        <v>384</v>
      </c>
      <c r="B167" s="111">
        <v>1</v>
      </c>
      <c r="C167" s="114">
        <v>160</v>
      </c>
      <c r="D167" s="112" t="s">
        <v>385</v>
      </c>
      <c r="E167" s="169">
        <v>83</v>
      </c>
      <c r="F167" s="113">
        <f>ROUND(E167*Valores!$C$2,2)</f>
        <v>8117.9</v>
      </c>
      <c r="G167" s="169">
        <v>2092</v>
      </c>
      <c r="H167" s="113">
        <f>ROUND(G167*Valores!$C$2,2)</f>
        <v>204610.15</v>
      </c>
      <c r="I167" s="169">
        <v>0</v>
      </c>
      <c r="J167" s="113">
        <f>ROUND(I167*Valores!$C$2,2)</f>
        <v>0</v>
      </c>
      <c r="K167" s="169">
        <v>0</v>
      </c>
      <c r="L167" s="113">
        <f>ROUND(K167*Valores!$C$2,2)</f>
        <v>0</v>
      </c>
      <c r="M167" s="113">
        <f>ROUND(IF($H$2=0,IF(AND(A167&lt;&gt;"13-930",A167&lt;&gt;"13-940"),(SUM(F167,H167,J167,L167,W167,S167,Q167)*Valores!$C$4),0),0),2)</f>
        <v>94994.69</v>
      </c>
      <c r="N167" s="113">
        <f t="shared" si="25"/>
        <v>0</v>
      </c>
      <c r="O167" s="113">
        <f>Valores!C$79</f>
        <v>225525.04</v>
      </c>
      <c r="P167" s="113">
        <f>Valores!$D$5</f>
        <v>49998.43</v>
      </c>
      <c r="Q167" s="113">
        <f>IF($F$4="NO",Valores!$C$26,Valores!$C$26/2)</f>
        <v>52265.18</v>
      </c>
      <c r="R167" s="113">
        <f>Valores!$C$8</f>
        <v>46521.33</v>
      </c>
      <c r="S167" s="113">
        <f t="shared" si="30"/>
        <v>46521.33</v>
      </c>
      <c r="T167" s="113">
        <v>0</v>
      </c>
      <c r="U167" s="113">
        <v>0</v>
      </c>
      <c r="V167" s="169">
        <v>700</v>
      </c>
      <c r="W167" s="113">
        <f>ROUND(V167*Valores!$C$2,2)</f>
        <v>68464.2</v>
      </c>
      <c r="X167" s="113">
        <f>ROUND(SUM(F167,H167,J167,Q167)*Valores!$C$3,2)</f>
        <v>39748.980000000003</v>
      </c>
      <c r="Y167" s="188">
        <v>0</v>
      </c>
      <c r="Z167" s="113">
        <f t="shared" si="26"/>
        <v>0</v>
      </c>
      <c r="AA167" s="169">
        <v>94</v>
      </c>
      <c r="AB167" s="113">
        <f>ROUND(AA167*Valores!$C$2,2)</f>
        <v>9193.76</v>
      </c>
      <c r="AC167" s="113">
        <f>ROUND(IF($F$4="NO",Valores!$C$32,Valores!$C$32/2),2)</f>
        <v>23377.77</v>
      </c>
      <c r="AD167" s="113">
        <f>SUM(F167,H167,J167,L167,M167,N167,O167,P167,Q167,S167,T167,U167,W167,X167,Z167,AB167,AC167)*Valores!$C$58</f>
        <v>82281.743000000017</v>
      </c>
      <c r="AE167" s="113">
        <f t="shared" si="27"/>
        <v>905099.17300000007</v>
      </c>
      <c r="AF167" s="113">
        <f>Valores!$C$12</f>
        <v>72856</v>
      </c>
      <c r="AG167" s="113">
        <f>Valores!$C$59</f>
        <v>25000</v>
      </c>
      <c r="AH167" s="113">
        <f t="shared" si="23"/>
        <v>97856</v>
      </c>
      <c r="AI167" s="113">
        <f>AE167*Valores!$C$39</f>
        <v>-99560.90903000001</v>
      </c>
      <c r="AJ167" s="113">
        <f>IF(AE167&lt;Valores!$E$40,-0.02,IF(AE167&lt;Valores!$F$40,-0.03,-0.04))*AE167</f>
        <v>-27152.975190000001</v>
      </c>
      <c r="AK167" s="113">
        <f>AE167*Valores!$C$42</f>
        <v>-49780.454515000005</v>
      </c>
      <c r="AL167" s="113">
        <f>Valores!$C$56</f>
        <v>-1270.1600000000001</v>
      </c>
      <c r="AM167" s="113">
        <f>IF($F$5=0,Valores!$C$57,(Valores!$C$57+$F$5*(Valores!$C$57)))</f>
        <v>-7026</v>
      </c>
      <c r="AN167" s="113">
        <f t="shared" si="28"/>
        <v>818164.67426500004</v>
      </c>
      <c r="AO167" s="113">
        <f t="shared" si="22"/>
        <v>-99560.90903000001</v>
      </c>
      <c r="AP167" s="113">
        <f t="shared" si="29"/>
        <v>-27152.975190000001</v>
      </c>
      <c r="AQ167" s="113">
        <f>AE167*Valores!$C$43</f>
        <v>-24437.677671000001</v>
      </c>
      <c r="AR167" s="113">
        <f>AE167*Valores!$C$44</f>
        <v>-2715.2975190000002</v>
      </c>
      <c r="AS167" s="113">
        <f t="shared" si="24"/>
        <v>849088.31359000003</v>
      </c>
      <c r="AT167" s="113">
        <f>AE167*Valores!$C$46</f>
        <v>144815.86768000002</v>
      </c>
      <c r="AU167" s="113">
        <f>AE167*Valores!$C$47</f>
        <v>63356.942110000011</v>
      </c>
      <c r="AV167" s="113">
        <f>AE167*Valores!$C$48</f>
        <v>9050.9917300000016</v>
      </c>
      <c r="AW167" s="113">
        <f>AE167*Valores!$C$50</f>
        <v>31678.471055000005</v>
      </c>
      <c r="AX167" s="113">
        <f>AE167*Valores!$C$52</f>
        <v>48875.355342000003</v>
      </c>
      <c r="AY167" s="113">
        <f>AE167*Valores!$C$51</f>
        <v>5430.5950380000004</v>
      </c>
      <c r="AZ167" s="114"/>
      <c r="BA167" s="114">
        <v>45</v>
      </c>
      <c r="BB167" s="111" t="s">
        <v>8</v>
      </c>
    </row>
    <row r="168" spans="1:54" s="100" customFormat="1" ht="11.25" customHeight="1" x14ac:dyDescent="0.15">
      <c r="A168" s="111" t="s">
        <v>386</v>
      </c>
      <c r="B168" s="111">
        <v>1</v>
      </c>
      <c r="C168" s="114">
        <v>161</v>
      </c>
      <c r="D168" s="112" t="s">
        <v>387</v>
      </c>
      <c r="E168" s="169">
        <v>82</v>
      </c>
      <c r="F168" s="113">
        <f>ROUND(E168*Valores!$C$2,2)</f>
        <v>8020.09</v>
      </c>
      <c r="G168" s="169">
        <v>1941</v>
      </c>
      <c r="H168" s="113">
        <f>ROUND(G168*Valores!$C$2,2)</f>
        <v>189841.45</v>
      </c>
      <c r="I168" s="169">
        <v>0</v>
      </c>
      <c r="J168" s="113">
        <f>ROUND(I168*Valores!$C$2,2)</f>
        <v>0</v>
      </c>
      <c r="K168" s="169">
        <v>0</v>
      </c>
      <c r="L168" s="113">
        <f>ROUND(K168*Valores!$C$2,2)</f>
        <v>0</v>
      </c>
      <c r="M168" s="113">
        <f>ROUND(IF($H$2=0,IF(AND(A168&lt;&gt;"13-930",A168&lt;&gt;"13-940"),(SUM(F168,H168,J168,L168,W168,S168,Q168)*Valores!$C$4),0),0),2)</f>
        <v>91278.06</v>
      </c>
      <c r="N168" s="113">
        <f t="shared" si="25"/>
        <v>0</v>
      </c>
      <c r="O168" s="113">
        <f>Valores!C$79</f>
        <v>225525.04</v>
      </c>
      <c r="P168" s="113">
        <f>Valores!$D$5</f>
        <v>49998.43</v>
      </c>
      <c r="Q168" s="113">
        <f>IF($F$4="NO",Valores!$C$26,Valores!$C$26/2)</f>
        <v>52265.18</v>
      </c>
      <c r="R168" s="113">
        <f>Valores!$C$8</f>
        <v>46521.33</v>
      </c>
      <c r="S168" s="113">
        <f t="shared" si="30"/>
        <v>46521.33</v>
      </c>
      <c r="T168" s="113">
        <v>0</v>
      </c>
      <c r="U168" s="113">
        <v>0</v>
      </c>
      <c r="V168" s="169">
        <v>700</v>
      </c>
      <c r="W168" s="113">
        <f>ROUND(V168*Valores!$C$2,2)</f>
        <v>68464.2</v>
      </c>
      <c r="X168" s="113">
        <f>ROUND(SUM(F168,H168,J168,Q168)*Valores!$C$3,2)</f>
        <v>37519.01</v>
      </c>
      <c r="Y168" s="188">
        <v>0</v>
      </c>
      <c r="Z168" s="113">
        <f t="shared" si="26"/>
        <v>0</v>
      </c>
      <c r="AA168" s="169">
        <v>94</v>
      </c>
      <c r="AB168" s="113">
        <f>ROUND(AA168*Valores!$C$2,2)</f>
        <v>9193.76</v>
      </c>
      <c r="AC168" s="113">
        <f>ROUND(IF($F$4="NO",Valores!$C$32,Valores!$C$32/2),2)</f>
        <v>23377.77</v>
      </c>
      <c r="AD168" s="113">
        <f>SUM(F168,H168,J168,L168,M168,N168,O168,P168,Q168,S168,T168,U168,W168,X168,Z168,AB168,AC168)*Valores!$C$58</f>
        <v>80200.432000000015</v>
      </c>
      <c r="AE168" s="113">
        <f t="shared" si="27"/>
        <v>882204.75200000009</v>
      </c>
      <c r="AF168" s="113">
        <f>Valores!$C$12</f>
        <v>72856</v>
      </c>
      <c r="AG168" s="113">
        <f>Valores!$C$59</f>
        <v>25000</v>
      </c>
      <c r="AH168" s="113">
        <f t="shared" si="23"/>
        <v>97856</v>
      </c>
      <c r="AI168" s="113">
        <f>AE168*Valores!$C$39</f>
        <v>-97042.522720000008</v>
      </c>
      <c r="AJ168" s="113">
        <f>IF(AE168&lt;Valores!$E$40,-0.02,IF(AE168&lt;Valores!$F$40,-0.03,-0.04))*AE168</f>
        <v>-26466.14256</v>
      </c>
      <c r="AK168" s="113">
        <f>AE168*Valores!$C$42</f>
        <v>-48521.261360000004</v>
      </c>
      <c r="AL168" s="113">
        <f>Valores!$C$56</f>
        <v>-1270.1600000000001</v>
      </c>
      <c r="AM168" s="113">
        <f>IF($F$5=0,Valores!$C$57,(Valores!$C$57+$F$5*(Valores!$C$57)))</f>
        <v>-7026</v>
      </c>
      <c r="AN168" s="113">
        <f t="shared" si="28"/>
        <v>799734.6653600001</v>
      </c>
      <c r="AO168" s="113">
        <f t="shared" si="22"/>
        <v>-97042.522720000008</v>
      </c>
      <c r="AP168" s="113">
        <f t="shared" si="29"/>
        <v>-26466.14256</v>
      </c>
      <c r="AQ168" s="113">
        <f>AE168*Valores!$C$43</f>
        <v>-23819.528304000003</v>
      </c>
      <c r="AR168" s="113">
        <f>AE168*Valores!$C$44</f>
        <v>-2646.6142560000003</v>
      </c>
      <c r="AS168" s="113">
        <f t="shared" si="24"/>
        <v>830085.94416000007</v>
      </c>
      <c r="AT168" s="113">
        <f>AE168*Valores!$C$46</f>
        <v>141152.76032000003</v>
      </c>
      <c r="AU168" s="113">
        <f>AE168*Valores!$C$47</f>
        <v>61754.332640000015</v>
      </c>
      <c r="AV168" s="113">
        <f>AE168*Valores!$C$48</f>
        <v>8822.0475200000019</v>
      </c>
      <c r="AW168" s="113">
        <f>AE168*Valores!$C$50</f>
        <v>30877.166320000008</v>
      </c>
      <c r="AX168" s="113">
        <f>AE168*Valores!$C$52</f>
        <v>47639.056608000006</v>
      </c>
      <c r="AY168" s="113">
        <f>AE168*Valores!$C$51</f>
        <v>5293.2285120000006</v>
      </c>
      <c r="AZ168" s="114"/>
      <c r="BA168" s="114">
        <v>45</v>
      </c>
      <c r="BB168" s="111" t="s">
        <v>8</v>
      </c>
    </row>
    <row r="169" spans="1:54" s="100" customFormat="1" ht="11.25" customHeight="1" x14ac:dyDescent="0.15">
      <c r="A169" s="111" t="s">
        <v>388</v>
      </c>
      <c r="B169" s="111">
        <v>1</v>
      </c>
      <c r="C169" s="114">
        <v>162</v>
      </c>
      <c r="D169" s="112" t="s">
        <v>389</v>
      </c>
      <c r="E169" s="169">
        <v>79</v>
      </c>
      <c r="F169" s="113">
        <f>ROUND(E169*Valores!$C$2,2)</f>
        <v>7726.67</v>
      </c>
      <c r="G169" s="169">
        <v>2161</v>
      </c>
      <c r="H169" s="113">
        <f>ROUND(G169*Valores!$C$2,2)</f>
        <v>211358.77</v>
      </c>
      <c r="I169" s="169">
        <v>0</v>
      </c>
      <c r="J169" s="113">
        <f>ROUND(I169*Valores!$C$2,2)</f>
        <v>0</v>
      </c>
      <c r="K169" s="169">
        <v>0</v>
      </c>
      <c r="L169" s="113">
        <f>ROUND(K169*Valores!$C$2,2)</f>
        <v>0</v>
      </c>
      <c r="M169" s="113">
        <f>ROUND(IF($H$2=0,IF(AND(A169&lt;&gt;"13-930",A169&lt;&gt;"13-940"),(SUM(F169,H169,J169,L169,W169,S169,Q169)*Valores!$C$4),0),0),2)</f>
        <v>96584.04</v>
      </c>
      <c r="N169" s="113">
        <f t="shared" si="25"/>
        <v>0</v>
      </c>
      <c r="O169" s="113">
        <f>Valores!C$79</f>
        <v>225525.04</v>
      </c>
      <c r="P169" s="113">
        <f>Valores!$D$5</f>
        <v>49998.43</v>
      </c>
      <c r="Q169" s="113">
        <f>IF($F$4="NO",Valores!$C$26,Valores!$C$26/2)</f>
        <v>52265.18</v>
      </c>
      <c r="R169" s="113">
        <f>Valores!$C$8</f>
        <v>46521.33</v>
      </c>
      <c r="S169" s="113">
        <f t="shared" si="30"/>
        <v>46521.33</v>
      </c>
      <c r="T169" s="113">
        <v>0</v>
      </c>
      <c r="U169" s="113">
        <v>0</v>
      </c>
      <c r="V169" s="169">
        <v>700</v>
      </c>
      <c r="W169" s="113">
        <f>ROUND(V169*Valores!$C$2,2)</f>
        <v>68464.2</v>
      </c>
      <c r="X169" s="113">
        <f>ROUND(SUM(F169,H169,J169,Q169)*Valores!$C$3,2)</f>
        <v>40702.589999999997</v>
      </c>
      <c r="Y169" s="188">
        <v>0</v>
      </c>
      <c r="Z169" s="113">
        <f t="shared" si="26"/>
        <v>0</v>
      </c>
      <c r="AA169" s="169">
        <v>94</v>
      </c>
      <c r="AB169" s="113">
        <f>ROUND(AA169*Valores!$C$2,2)</f>
        <v>9193.76</v>
      </c>
      <c r="AC169" s="113">
        <f>ROUND(IF($F$4="NO",Valores!$C$32,Valores!$C$32/2),2)</f>
        <v>23377.77</v>
      </c>
      <c r="AD169" s="113">
        <f>SUM(F169,H169,J169,L169,M169,N169,O169,P169,Q169,S169,T169,U169,W169,X169,Z169,AB169,AC169)*Valores!$C$58</f>
        <v>83171.778000000006</v>
      </c>
      <c r="AE169" s="113">
        <f t="shared" si="27"/>
        <v>914889.55800000008</v>
      </c>
      <c r="AF169" s="113">
        <f>Valores!$C$12</f>
        <v>72856</v>
      </c>
      <c r="AG169" s="113">
        <f>Valores!$C$59</f>
        <v>25000</v>
      </c>
      <c r="AH169" s="113">
        <f t="shared" si="23"/>
        <v>97856</v>
      </c>
      <c r="AI169" s="113">
        <f>AE169*Valores!$C$39</f>
        <v>-100637.85138000001</v>
      </c>
      <c r="AJ169" s="113">
        <f>IF(AE169&lt;Valores!$E$40,-0.02,IF(AE169&lt;Valores!$F$40,-0.03,-0.04))*AE169</f>
        <v>-27446.686740000001</v>
      </c>
      <c r="AK169" s="113">
        <f>AE169*Valores!$C$42</f>
        <v>-50318.925690000004</v>
      </c>
      <c r="AL169" s="113">
        <f>Valores!$C$56</f>
        <v>-1270.1600000000001</v>
      </c>
      <c r="AM169" s="113">
        <f>IF($F$5=0,Valores!$C$57,(Valores!$C$57+$F$5*(Valores!$C$57)))</f>
        <v>-7026</v>
      </c>
      <c r="AN169" s="113">
        <f t="shared" si="28"/>
        <v>826045.93419000006</v>
      </c>
      <c r="AO169" s="113">
        <f t="shared" si="22"/>
        <v>-100637.85138000001</v>
      </c>
      <c r="AP169" s="113">
        <f t="shared" si="29"/>
        <v>-27446.686740000001</v>
      </c>
      <c r="AQ169" s="113">
        <f>AE169*Valores!$C$43</f>
        <v>-24702.018066000001</v>
      </c>
      <c r="AR169" s="113">
        <f>AE169*Valores!$C$44</f>
        <v>-2744.6686740000005</v>
      </c>
      <c r="AS169" s="113">
        <f t="shared" si="24"/>
        <v>857214.33314</v>
      </c>
      <c r="AT169" s="113">
        <f>AE169*Valores!$C$46</f>
        <v>146382.32928000001</v>
      </c>
      <c r="AU169" s="113">
        <f>AE169*Valores!$C$47</f>
        <v>64042.269060000013</v>
      </c>
      <c r="AV169" s="113">
        <f>AE169*Valores!$C$48</f>
        <v>9148.8955800000003</v>
      </c>
      <c r="AW169" s="113">
        <f>AE169*Valores!$C$50</f>
        <v>32021.134530000007</v>
      </c>
      <c r="AX169" s="113">
        <f>AE169*Valores!$C$52</f>
        <v>49404.036132000001</v>
      </c>
      <c r="AY169" s="113">
        <f>AE169*Valores!$C$51</f>
        <v>5489.3373480000009</v>
      </c>
      <c r="AZ169" s="114"/>
      <c r="BA169" s="114">
        <v>45</v>
      </c>
      <c r="BB169" s="111" t="s">
        <v>8</v>
      </c>
    </row>
    <row r="170" spans="1:54" s="100" customFormat="1" ht="11.25" customHeight="1" x14ac:dyDescent="0.15">
      <c r="A170" s="111" t="s">
        <v>390</v>
      </c>
      <c r="B170" s="111">
        <v>1</v>
      </c>
      <c r="C170" s="114">
        <v>163</v>
      </c>
      <c r="D170" s="112" t="s">
        <v>391</v>
      </c>
      <c r="E170" s="169">
        <v>98</v>
      </c>
      <c r="F170" s="113">
        <f>ROUND(E170*Valores!$C$2,2)</f>
        <v>9584.99</v>
      </c>
      <c r="G170" s="169">
        <v>2686</v>
      </c>
      <c r="H170" s="113">
        <f>ROUND(G170*Valores!$C$2,2)</f>
        <v>262706.92</v>
      </c>
      <c r="I170" s="169">
        <v>0</v>
      </c>
      <c r="J170" s="113">
        <f>ROUND(I170*Valores!$C$2,2)</f>
        <v>0</v>
      </c>
      <c r="K170" s="169">
        <v>0</v>
      </c>
      <c r="L170" s="113">
        <f>ROUND(K170*Valores!$C$2,2)</f>
        <v>0</v>
      </c>
      <c r="M170" s="113">
        <f>ROUND(IF($H$2=0,IF(AND(A170&lt;&gt;"13-930",A170&lt;&gt;"13-940"),(SUM(F170,H170,J170,L170,W170,S170,Q170)*Valores!$C$4),0),0),2)</f>
        <v>109885.66</v>
      </c>
      <c r="N170" s="113">
        <f t="shared" si="25"/>
        <v>0</v>
      </c>
      <c r="O170" s="113">
        <f>Valores!C$79</f>
        <v>225525.04</v>
      </c>
      <c r="P170" s="113">
        <f>Valores!$D$5</f>
        <v>49998.43</v>
      </c>
      <c r="Q170" s="113">
        <f>IF($F$4="NO",Valores!$C$26,Valores!$C$26/2)</f>
        <v>52265.18</v>
      </c>
      <c r="R170" s="113">
        <f>Valores!$C$8</f>
        <v>46521.33</v>
      </c>
      <c r="S170" s="113">
        <f t="shared" si="30"/>
        <v>46521.33</v>
      </c>
      <c r="T170" s="113">
        <v>0</v>
      </c>
      <c r="U170" s="113">
        <v>0</v>
      </c>
      <c r="V170" s="169">
        <v>700</v>
      </c>
      <c r="W170" s="113">
        <f>ROUND(V170*Valores!$C$2,2)</f>
        <v>68464.2</v>
      </c>
      <c r="X170" s="113">
        <f>ROUND(SUM(F170,H170,J170,Q170)*Valores!$C$3,2)</f>
        <v>48683.56</v>
      </c>
      <c r="Y170" s="188">
        <v>0</v>
      </c>
      <c r="Z170" s="113">
        <f t="shared" si="26"/>
        <v>0</v>
      </c>
      <c r="AA170" s="169">
        <v>0</v>
      </c>
      <c r="AB170" s="113">
        <f>ROUND(AA170*Valores!$C$2,2)</f>
        <v>0</v>
      </c>
      <c r="AC170" s="113">
        <f>ROUND(IF($F$4="NO",Valores!$C$32,Valores!$C$32/2),2)</f>
        <v>23377.77</v>
      </c>
      <c r="AD170" s="113">
        <f>SUM(F170,H170,J170,L170,M170,N170,O170,P170,Q170,S170,T170,U170,W170,X170,Z170,AB170,AC170)*Valores!$C$58</f>
        <v>89701.308000000019</v>
      </c>
      <c r="AE170" s="113">
        <f t="shared" si="27"/>
        <v>986714.38800000004</v>
      </c>
      <c r="AF170" s="113">
        <f>Valores!$C$12</f>
        <v>72856</v>
      </c>
      <c r="AG170" s="113">
        <f>Valores!$C$59</f>
        <v>25000</v>
      </c>
      <c r="AH170" s="113">
        <f t="shared" si="23"/>
        <v>97856</v>
      </c>
      <c r="AI170" s="113">
        <f>AE170*Valores!$C$39</f>
        <v>-108538.58268000001</v>
      </c>
      <c r="AJ170" s="113">
        <f>IF(AE170&lt;Valores!$E$40,-0.02,IF(AE170&lt;Valores!$F$40,-0.03,-0.04))*AE170</f>
        <v>-29601.431639999999</v>
      </c>
      <c r="AK170" s="113">
        <f>AE170*Valores!$C$42</f>
        <v>-54269.291340000003</v>
      </c>
      <c r="AL170" s="113">
        <f>Valores!$C$56</f>
        <v>-1270.1600000000001</v>
      </c>
      <c r="AM170" s="113">
        <f>IF($F$5=0,Valores!$C$57,(Valores!$C$57+$F$5*(Valores!$C$57)))</f>
        <v>-7026</v>
      </c>
      <c r="AN170" s="113">
        <f t="shared" si="28"/>
        <v>883864.92234000005</v>
      </c>
      <c r="AO170" s="113">
        <f t="shared" si="22"/>
        <v>-108538.58268000001</v>
      </c>
      <c r="AP170" s="113">
        <f t="shared" si="29"/>
        <v>-29601.431639999999</v>
      </c>
      <c r="AQ170" s="113">
        <f>AE170*Valores!$C$43</f>
        <v>-26641.288476000002</v>
      </c>
      <c r="AR170" s="113">
        <f>AE170*Valores!$C$44</f>
        <v>-2960.1431640000001</v>
      </c>
      <c r="AS170" s="113">
        <f t="shared" si="24"/>
        <v>916828.94203999999</v>
      </c>
      <c r="AT170" s="113">
        <f>AE170*Valores!$C$46</f>
        <v>157874.30208000002</v>
      </c>
      <c r="AU170" s="113">
        <f>AE170*Valores!$C$47</f>
        <v>69070.007160000008</v>
      </c>
      <c r="AV170" s="113">
        <f>AE170*Valores!$C$48</f>
        <v>9867.1438800000014</v>
      </c>
      <c r="AW170" s="113">
        <f>AE170*Valores!$C$50</f>
        <v>34535.003580000004</v>
      </c>
      <c r="AX170" s="113">
        <f>AE170*Valores!$C$52</f>
        <v>53282.576952000003</v>
      </c>
      <c r="AY170" s="113">
        <f>AE170*Valores!$C$51</f>
        <v>5920.2863280000001</v>
      </c>
      <c r="AZ170" s="114"/>
      <c r="BA170" s="114"/>
      <c r="BB170" s="111" t="s">
        <v>8</v>
      </c>
    </row>
    <row r="171" spans="1:54" s="100" customFormat="1" ht="11.25" customHeight="1" x14ac:dyDescent="0.15">
      <c r="A171" s="111" t="s">
        <v>392</v>
      </c>
      <c r="B171" s="111">
        <v>1</v>
      </c>
      <c r="C171" s="114">
        <v>164</v>
      </c>
      <c r="D171" s="112" t="s">
        <v>393</v>
      </c>
      <c r="E171" s="169">
        <v>93</v>
      </c>
      <c r="F171" s="113">
        <f>ROUND(E171*Valores!$C$2,2)</f>
        <v>9095.9599999999991</v>
      </c>
      <c r="G171" s="169">
        <v>2547</v>
      </c>
      <c r="H171" s="113">
        <f>ROUND(G171*Valores!$C$2,2)</f>
        <v>249111.88</v>
      </c>
      <c r="I171" s="169">
        <v>0</v>
      </c>
      <c r="J171" s="113">
        <f>ROUND(I171*Valores!$C$2,2)</f>
        <v>0</v>
      </c>
      <c r="K171" s="169">
        <v>0</v>
      </c>
      <c r="L171" s="113">
        <f>ROUND(K171*Valores!$C$2,2)</f>
        <v>0</v>
      </c>
      <c r="M171" s="113">
        <f>ROUND(IF($H$2=0,IF(AND(A171&lt;&gt;"13-930",A171&lt;&gt;"13-940"),(SUM(F171,H171,J171,L171,W171,S171,Q171)*Valores!$C$4),0),0),2)</f>
        <v>106364.64</v>
      </c>
      <c r="N171" s="113">
        <f t="shared" si="25"/>
        <v>0</v>
      </c>
      <c r="O171" s="113">
        <f>Valores!C$79</f>
        <v>225525.04</v>
      </c>
      <c r="P171" s="113">
        <f>Valores!$D$5</f>
        <v>49998.43</v>
      </c>
      <c r="Q171" s="113">
        <f>IF($F$4="NO",Valores!$C$26,Valores!$C$26/2)</f>
        <v>52265.18</v>
      </c>
      <c r="R171" s="113">
        <f>Valores!$C$8</f>
        <v>46521.33</v>
      </c>
      <c r="S171" s="113">
        <f t="shared" si="30"/>
        <v>46521.33</v>
      </c>
      <c r="T171" s="113">
        <v>0</v>
      </c>
      <c r="U171" s="113">
        <v>0</v>
      </c>
      <c r="V171" s="169">
        <v>700</v>
      </c>
      <c r="W171" s="113">
        <f>ROUND(V171*Valores!$C$2,2)</f>
        <v>68464.2</v>
      </c>
      <c r="X171" s="113">
        <f>ROUND(SUM(F171,H171,J171,Q171)*Valores!$C$3,2)</f>
        <v>46570.95</v>
      </c>
      <c r="Y171" s="188">
        <v>0</v>
      </c>
      <c r="Z171" s="113">
        <f t="shared" si="26"/>
        <v>0</v>
      </c>
      <c r="AA171" s="169">
        <v>0</v>
      </c>
      <c r="AB171" s="113">
        <f>ROUND(AA171*Valores!$C$2,2)</f>
        <v>0</v>
      </c>
      <c r="AC171" s="113">
        <f>ROUND(IF($F$4="NO",Valores!$C$32,Valores!$C$32/2),2)</f>
        <v>23377.77</v>
      </c>
      <c r="AD171" s="113">
        <f>SUM(F171,H171,J171,L171,M171,N171,O171,P171,Q171,S171,T171,U171,W171,X171,Z171,AB171,AC171)*Valores!$C$58</f>
        <v>87729.538</v>
      </c>
      <c r="AE171" s="113">
        <f t="shared" si="27"/>
        <v>965024.91800000006</v>
      </c>
      <c r="AF171" s="113">
        <f>Valores!$C$12</f>
        <v>72856</v>
      </c>
      <c r="AG171" s="113">
        <f>Valores!$C$59</f>
        <v>25000</v>
      </c>
      <c r="AH171" s="113">
        <f t="shared" si="23"/>
        <v>97856</v>
      </c>
      <c r="AI171" s="113">
        <f>AE171*Valores!$C$39</f>
        <v>-106152.74098</v>
      </c>
      <c r="AJ171" s="113">
        <f>IF(AE171&lt;Valores!$E$40,-0.02,IF(AE171&lt;Valores!$F$40,-0.03,-0.04))*AE171</f>
        <v>-28950.74754</v>
      </c>
      <c r="AK171" s="113">
        <f>AE171*Valores!$C$42</f>
        <v>-53076.370490000001</v>
      </c>
      <c r="AL171" s="113">
        <f>Valores!$C$56</f>
        <v>-1270.1600000000001</v>
      </c>
      <c r="AM171" s="113">
        <f>IF($F$5=0,Valores!$C$57,(Valores!$C$57+$F$5*(Valores!$C$57)))</f>
        <v>-7026</v>
      </c>
      <c r="AN171" s="113">
        <f t="shared" si="28"/>
        <v>866404.89899000002</v>
      </c>
      <c r="AO171" s="113">
        <f t="shared" si="22"/>
        <v>-106152.74098</v>
      </c>
      <c r="AP171" s="113">
        <f t="shared" si="29"/>
        <v>-28950.74754</v>
      </c>
      <c r="AQ171" s="113">
        <f>AE171*Valores!$C$43</f>
        <v>-26055.672786000003</v>
      </c>
      <c r="AR171" s="113">
        <f>AE171*Valores!$C$44</f>
        <v>-2895.0747540000002</v>
      </c>
      <c r="AS171" s="113">
        <f t="shared" si="24"/>
        <v>898826.68194000004</v>
      </c>
      <c r="AT171" s="113">
        <f>AE171*Valores!$C$46</f>
        <v>154403.98688000001</v>
      </c>
      <c r="AU171" s="113">
        <f>AE171*Valores!$C$47</f>
        <v>67551.744260000007</v>
      </c>
      <c r="AV171" s="113">
        <f>AE171*Valores!$C$48</f>
        <v>9650.2491800000007</v>
      </c>
      <c r="AW171" s="113">
        <f>AE171*Valores!$C$50</f>
        <v>33775.872130000003</v>
      </c>
      <c r="AX171" s="113">
        <f>AE171*Valores!$C$52</f>
        <v>52111.345572000006</v>
      </c>
      <c r="AY171" s="113">
        <f>AE171*Valores!$C$51</f>
        <v>5790.1495080000004</v>
      </c>
      <c r="AZ171" s="114"/>
      <c r="BA171" s="114"/>
      <c r="BB171" s="111" t="s">
        <v>8</v>
      </c>
    </row>
    <row r="172" spans="1:54" s="100" customFormat="1" ht="11.25" customHeight="1" x14ac:dyDescent="0.15">
      <c r="A172" s="111" t="s">
        <v>394</v>
      </c>
      <c r="B172" s="111">
        <v>1</v>
      </c>
      <c r="C172" s="114">
        <v>165</v>
      </c>
      <c r="D172" s="112" t="s">
        <v>395</v>
      </c>
      <c r="E172" s="169">
        <v>1278</v>
      </c>
      <c r="F172" s="113">
        <f>ROUND(E172*Valores!$C$2,2)</f>
        <v>124996.07</v>
      </c>
      <c r="G172" s="169">
        <v>0</v>
      </c>
      <c r="H172" s="113">
        <f>ROUND(G172*Valores!$C$2,2)</f>
        <v>0</v>
      </c>
      <c r="I172" s="169">
        <v>0</v>
      </c>
      <c r="J172" s="113">
        <f>ROUND(I172*Valores!$C$2,2)</f>
        <v>0</v>
      </c>
      <c r="K172" s="169">
        <v>0</v>
      </c>
      <c r="L172" s="113">
        <f>ROUND(K172*Valores!$C$2,2)</f>
        <v>0</v>
      </c>
      <c r="M172" s="113">
        <f>ROUND(IF($H$2=0,IF(AND(A172&lt;&gt;"13-930",A172&lt;&gt;"13-940"),(SUM(F172,H172,J172,L172,W172,S172,Q172)*Valores!$C$4),0),0),2)</f>
        <v>77952</v>
      </c>
      <c r="N172" s="113">
        <f t="shared" si="25"/>
        <v>0</v>
      </c>
      <c r="O172" s="113">
        <f>Valores!C$79</f>
        <v>225525.04</v>
      </c>
      <c r="P172" s="113">
        <f>Valores!$D$5</f>
        <v>49998.43</v>
      </c>
      <c r="Q172" s="113">
        <f>IF($F$4="NO",Valores!$C$26,Valores!$C$26/2)</f>
        <v>52265.18</v>
      </c>
      <c r="R172" s="113">
        <f>Valores!$C$8</f>
        <v>46521.33</v>
      </c>
      <c r="S172" s="113">
        <f t="shared" si="30"/>
        <v>46521.33</v>
      </c>
      <c r="T172" s="113">
        <v>0</v>
      </c>
      <c r="U172" s="113">
        <v>0</v>
      </c>
      <c r="V172" s="169">
        <v>900</v>
      </c>
      <c r="W172" s="113">
        <f>ROUND(V172*Valores!$C$2,2)</f>
        <v>88025.4</v>
      </c>
      <c r="X172" s="113">
        <f>ROUND(SUM(F172,H172,J172,Q172)*Valores!$C$3,2)</f>
        <v>26589.19</v>
      </c>
      <c r="Y172" s="188">
        <v>0</v>
      </c>
      <c r="Z172" s="113">
        <f t="shared" si="26"/>
        <v>0</v>
      </c>
      <c r="AA172" s="169">
        <v>94</v>
      </c>
      <c r="AB172" s="113">
        <f>ROUND(AA172*Valores!$C$2,2)</f>
        <v>9193.76</v>
      </c>
      <c r="AC172" s="113">
        <f>ROUND(IF($F$4="NO",Valores!$C$32,Valores!$C$32/2),2)</f>
        <v>23377.77</v>
      </c>
      <c r="AD172" s="113">
        <f>SUM(F172,H172,J172,L172,M172,N172,O172,P172,Q172,S172,T172,U172,W172,X172,Z172,AB172,AC172)*Valores!$C$58</f>
        <v>72444.417000000001</v>
      </c>
      <c r="AE172" s="113">
        <f t="shared" si="27"/>
        <v>796888.58699999994</v>
      </c>
      <c r="AF172" s="113">
        <f>Valores!$C$12</f>
        <v>72856</v>
      </c>
      <c r="AG172" s="113">
        <f>Valores!$C$59</f>
        <v>25000</v>
      </c>
      <c r="AH172" s="113">
        <f t="shared" si="23"/>
        <v>97856</v>
      </c>
      <c r="AI172" s="113">
        <f>AE172*Valores!$C$39</f>
        <v>-87657.744569999995</v>
      </c>
      <c r="AJ172" s="113">
        <f>IF(AE172&lt;Valores!$E$40,-0.02,IF(AE172&lt;Valores!$F$40,-0.03,-0.04))*AE172</f>
        <v>-23906.657609999998</v>
      </c>
      <c r="AK172" s="113">
        <f>AE172*Valores!$C$42</f>
        <v>-43828.872284999998</v>
      </c>
      <c r="AL172" s="113">
        <f>Valores!$C$56</f>
        <v>-1270.1600000000001</v>
      </c>
      <c r="AM172" s="113">
        <f>IF($F$5=0,Valores!$C$57,(Valores!$C$57+$F$5*(Valores!$C$57)))</f>
        <v>-7026</v>
      </c>
      <c r="AN172" s="113">
        <f t="shared" si="28"/>
        <v>731055.15253499988</v>
      </c>
      <c r="AO172" s="113">
        <f t="shared" si="22"/>
        <v>-87657.744569999995</v>
      </c>
      <c r="AP172" s="113">
        <f t="shared" si="29"/>
        <v>-23906.657609999998</v>
      </c>
      <c r="AQ172" s="113">
        <f>AE172*Valores!$C$43</f>
        <v>-21515.991848999998</v>
      </c>
      <c r="AR172" s="113">
        <f>AE172*Valores!$C$44</f>
        <v>-2390.6657609999997</v>
      </c>
      <c r="AS172" s="113">
        <f t="shared" si="24"/>
        <v>759273.52720999997</v>
      </c>
      <c r="AT172" s="113">
        <f>AE172*Valores!$C$46</f>
        <v>127502.17391999999</v>
      </c>
      <c r="AU172" s="113">
        <f>AE172*Valores!$C$47</f>
        <v>55782.201090000002</v>
      </c>
      <c r="AV172" s="113">
        <f>AE172*Valores!$C$48</f>
        <v>7968.8858699999992</v>
      </c>
      <c r="AW172" s="113">
        <f>AE172*Valores!$C$50</f>
        <v>27891.100545000001</v>
      </c>
      <c r="AX172" s="113">
        <f>AE172*Valores!$C$52</f>
        <v>43031.983697999996</v>
      </c>
      <c r="AY172" s="113">
        <f>AE172*Valores!$C$51</f>
        <v>4781.3315219999995</v>
      </c>
      <c r="AZ172" s="114"/>
      <c r="BA172" s="114">
        <v>36</v>
      </c>
      <c r="BB172" s="111" t="s">
        <v>4</v>
      </c>
    </row>
    <row r="173" spans="1:54" s="100" customFormat="1" ht="11.25" customHeight="1" x14ac:dyDescent="0.15">
      <c r="A173" s="111" t="s">
        <v>396</v>
      </c>
      <c r="B173" s="111">
        <v>1</v>
      </c>
      <c r="C173" s="114">
        <v>166</v>
      </c>
      <c r="D173" s="112" t="s">
        <v>397</v>
      </c>
      <c r="E173" s="169">
        <v>217</v>
      </c>
      <c r="F173" s="113">
        <f>ROUND(E173*Valores!$C$2,2)</f>
        <v>21223.9</v>
      </c>
      <c r="G173" s="169">
        <f>2245</f>
        <v>2245</v>
      </c>
      <c r="H173" s="113">
        <f>ROUND(G173*Valores!$C$2,2)</f>
        <v>219574.47</v>
      </c>
      <c r="I173" s="169">
        <v>0</v>
      </c>
      <c r="J173" s="113">
        <f>ROUND(I173*Valores!$C$2,2)</f>
        <v>0</v>
      </c>
      <c r="K173" s="169">
        <v>1300</v>
      </c>
      <c r="L173" s="113">
        <f>ROUND(K173*Valores!$C$2,2)</f>
        <v>127147.8</v>
      </c>
      <c r="M173" s="113">
        <f>ROUND(IF($H$2=0,IF(AND(A173&lt;&gt;"13-930",A173&lt;&gt;"13-940"),(SUM(F173,H173,J173,L173,W173,S173,Q173)*Valores!$C$4),0),0),2)</f>
        <v>116683.17</v>
      </c>
      <c r="N173" s="113">
        <f t="shared" si="25"/>
        <v>0</v>
      </c>
      <c r="O173" s="113">
        <f>Valores!C$89</f>
        <v>308514.28999999998</v>
      </c>
      <c r="P173" s="113">
        <f>Valores!$D$5</f>
        <v>49998.43</v>
      </c>
      <c r="Q173" s="113">
        <f>IF($F$4="NO",Valores!$C$26,Valores!$C$26/2)</f>
        <v>52265.18</v>
      </c>
      <c r="R173" s="113">
        <f>Valores!$C$8</f>
        <v>46521.33</v>
      </c>
      <c r="S173" s="113">
        <f t="shared" si="30"/>
        <v>46521.33</v>
      </c>
      <c r="T173" s="113">
        <v>0</v>
      </c>
      <c r="U173" s="113">
        <v>0</v>
      </c>
      <c r="V173" s="169">
        <v>0</v>
      </c>
      <c r="W173" s="113">
        <f>ROUND(V173*Valores!$C$2,2)</f>
        <v>0</v>
      </c>
      <c r="X173" s="113">
        <v>0</v>
      </c>
      <c r="Y173" s="188">
        <v>0</v>
      </c>
      <c r="Z173" s="113">
        <f t="shared" si="26"/>
        <v>0</v>
      </c>
      <c r="AA173" s="169">
        <v>0</v>
      </c>
      <c r="AB173" s="113">
        <f>ROUND(AA173*Valores!$C$2,2)</f>
        <v>0</v>
      </c>
      <c r="AC173" s="113">
        <f>ROUND(IF($F$4="NO",Valores!$C$32,Valores!$C$32/2),2)</f>
        <v>23377.77</v>
      </c>
      <c r="AD173" s="113">
        <f>SUM(F173,H173,J173,L173,M173,N173,O173,P173,Q173,S173,T173,U173,W173,X173,Z173,AB173,AC173)*Valores!$C$58</f>
        <v>96530.634000000005</v>
      </c>
      <c r="AE173" s="113">
        <f t="shared" si="27"/>
        <v>1061836.9739999999</v>
      </c>
      <c r="AF173" s="113">
        <f>Valores!$C$12</f>
        <v>72856</v>
      </c>
      <c r="AG173" s="113">
        <f>Valores!$C$59</f>
        <v>25000</v>
      </c>
      <c r="AH173" s="113">
        <f t="shared" si="23"/>
        <v>97856</v>
      </c>
      <c r="AI173" s="113">
        <f>AE173*Valores!$C$39</f>
        <v>-116802.06714</v>
      </c>
      <c r="AJ173" s="113">
        <f>IF(AE173&lt;Valores!$E$40,-0.02,IF(AE173&lt;Valores!$F$40,-0.03,-0.04))*AE173</f>
        <v>-42473.47896</v>
      </c>
      <c r="AK173" s="113">
        <f>AE173*Valores!$C$42</f>
        <v>-58401.03357</v>
      </c>
      <c r="AL173" s="113">
        <f>Valores!$C$56</f>
        <v>-1270.1600000000001</v>
      </c>
      <c r="AM173" s="113">
        <f>IF($F$5=0,Valores!$C$57,(Valores!$C$57+$F$5*(Valores!$C$57)))</f>
        <v>-7026</v>
      </c>
      <c r="AN173" s="113">
        <f t="shared" si="28"/>
        <v>933720.23432999989</v>
      </c>
      <c r="AO173" s="113">
        <f t="shared" si="22"/>
        <v>-116802.06714</v>
      </c>
      <c r="AP173" s="113">
        <f t="shared" si="29"/>
        <v>-42473.47896</v>
      </c>
      <c r="AQ173" s="113">
        <f>AE173*Valores!$C$43</f>
        <v>-28669.598297999997</v>
      </c>
      <c r="AR173" s="113">
        <f>AE173*Valores!$C$44</f>
        <v>-3185.5109219999999</v>
      </c>
      <c r="AS173" s="113">
        <f t="shared" si="24"/>
        <v>968562.31867999991</v>
      </c>
      <c r="AT173" s="113">
        <f>AE173*Valores!$C$46</f>
        <v>169893.91584</v>
      </c>
      <c r="AU173" s="113">
        <f>AE173*Valores!$C$47</f>
        <v>74328.588180000006</v>
      </c>
      <c r="AV173" s="113">
        <f>AE173*Valores!$C$48</f>
        <v>10618.36974</v>
      </c>
      <c r="AW173" s="113">
        <f>AE173*Valores!$C$50</f>
        <v>37164.294090000003</v>
      </c>
      <c r="AX173" s="113">
        <f>AE173*Valores!$C$52</f>
        <v>57339.196595999994</v>
      </c>
      <c r="AY173" s="113">
        <f>AE173*Valores!$C$51</f>
        <v>6371.0218439999999</v>
      </c>
      <c r="AZ173" s="114"/>
      <c r="BA173" s="114">
        <v>45</v>
      </c>
      <c r="BB173" s="111" t="s">
        <v>4</v>
      </c>
    </row>
    <row r="174" spans="1:54" s="100" customFormat="1" ht="11.25" customHeight="1" x14ac:dyDescent="0.15">
      <c r="A174" s="111" t="s">
        <v>398</v>
      </c>
      <c r="B174" s="111">
        <v>1</v>
      </c>
      <c r="C174" s="114">
        <v>167</v>
      </c>
      <c r="D174" s="112" t="s">
        <v>399</v>
      </c>
      <c r="E174" s="169">
        <v>185</v>
      </c>
      <c r="F174" s="113">
        <f>ROUND(E174*Valores!$C$2,2)</f>
        <v>18094.11</v>
      </c>
      <c r="G174" s="169">
        <f>1835</f>
        <v>1835</v>
      </c>
      <c r="H174" s="113">
        <f>ROUND(G174*Valores!$C$2,2)</f>
        <v>179474.01</v>
      </c>
      <c r="I174" s="169">
        <v>0</v>
      </c>
      <c r="J174" s="113">
        <f>ROUND(I174*Valores!$C$2,2)</f>
        <v>0</v>
      </c>
      <c r="K174" s="169">
        <v>1300</v>
      </c>
      <c r="L174" s="113">
        <f>ROUND(K174*Valores!$C$2,2)</f>
        <v>127147.8</v>
      </c>
      <c r="M174" s="113">
        <f>ROUND(IF($H$2=0,IF(AND(A174&lt;&gt;"13-930",A174&lt;&gt;"13-940"),(SUM(F174,H174,J174,L174,W174,S174,Q174)*Valores!$C$4),0),0),2)</f>
        <v>105875.61</v>
      </c>
      <c r="N174" s="113">
        <f t="shared" si="25"/>
        <v>0</v>
      </c>
      <c r="O174" s="113">
        <f>Valores!C$89</f>
        <v>308514.28999999998</v>
      </c>
      <c r="P174" s="113">
        <f>Valores!$D$5</f>
        <v>49998.43</v>
      </c>
      <c r="Q174" s="113">
        <f>IF($F$4="NO",Valores!$C$26,Valores!$C$26/2)</f>
        <v>52265.18</v>
      </c>
      <c r="R174" s="113">
        <f>Valores!$C$8</f>
        <v>46521.33</v>
      </c>
      <c r="S174" s="113">
        <f t="shared" si="30"/>
        <v>46521.33</v>
      </c>
      <c r="T174" s="113">
        <v>0</v>
      </c>
      <c r="U174" s="113">
        <v>0</v>
      </c>
      <c r="V174" s="169">
        <v>0</v>
      </c>
      <c r="W174" s="113">
        <f>ROUND(V174*Valores!$C$2,2)</f>
        <v>0</v>
      </c>
      <c r="X174" s="113">
        <v>0</v>
      </c>
      <c r="Y174" s="188">
        <v>0</v>
      </c>
      <c r="Z174" s="113">
        <f t="shared" si="26"/>
        <v>0</v>
      </c>
      <c r="AA174" s="169">
        <v>0</v>
      </c>
      <c r="AB174" s="113">
        <f>ROUND(AA174*Valores!$C$2,2)</f>
        <v>0</v>
      </c>
      <c r="AC174" s="113">
        <f>ROUND(IF($F$4="NO",Valores!$C$32,Valores!$C$32/2),2)</f>
        <v>23377.77</v>
      </c>
      <c r="AD174" s="113">
        <f>SUM(F174,H174,J174,L174,M174,N174,O174,P174,Q174,S174,T174,U174,W174,X174,Z174,AB174,AC174)*Valores!$C$58</f>
        <v>91126.853000000003</v>
      </c>
      <c r="AE174" s="113">
        <f t="shared" si="27"/>
        <v>1002395.383</v>
      </c>
      <c r="AF174" s="113">
        <f>Valores!$C$12</f>
        <v>72856</v>
      </c>
      <c r="AG174" s="113">
        <f>Valores!$C$59</f>
        <v>25000</v>
      </c>
      <c r="AH174" s="113">
        <f t="shared" si="23"/>
        <v>97856</v>
      </c>
      <c r="AI174" s="113">
        <f>AE174*Valores!$C$39</f>
        <v>-110263.49213</v>
      </c>
      <c r="AJ174" s="113">
        <f>IF(AE174&lt;Valores!$E$40,-0.02,IF(AE174&lt;Valores!$F$40,-0.03,-0.04))*AE174</f>
        <v>-40095.815320000002</v>
      </c>
      <c r="AK174" s="113">
        <f>AE174*Valores!$C$42</f>
        <v>-55131.746064999999</v>
      </c>
      <c r="AL174" s="113">
        <f>Valores!$C$56</f>
        <v>-1270.1600000000001</v>
      </c>
      <c r="AM174" s="113">
        <f>IF($F$5=0,Valores!$C$57,(Valores!$C$57+$F$5*(Valores!$C$57)))</f>
        <v>-7026</v>
      </c>
      <c r="AN174" s="113">
        <f t="shared" si="28"/>
        <v>886464.16948499996</v>
      </c>
      <c r="AO174" s="113">
        <f t="shared" si="22"/>
        <v>-110263.49213</v>
      </c>
      <c r="AP174" s="113">
        <f t="shared" si="29"/>
        <v>-40095.815320000002</v>
      </c>
      <c r="AQ174" s="113">
        <f>AE174*Valores!$C$43</f>
        <v>-27064.675341000002</v>
      </c>
      <c r="AR174" s="113">
        <f>AE174*Valores!$C$44</f>
        <v>-3007.1861490000001</v>
      </c>
      <c r="AS174" s="113">
        <f t="shared" si="24"/>
        <v>919820.21405999991</v>
      </c>
      <c r="AT174" s="113">
        <f>AE174*Valores!$C$46</f>
        <v>160383.26128000001</v>
      </c>
      <c r="AU174" s="113">
        <f>AE174*Valores!$C$47</f>
        <v>70167.676810000004</v>
      </c>
      <c r="AV174" s="113">
        <f>AE174*Valores!$C$48</f>
        <v>10023.95383</v>
      </c>
      <c r="AW174" s="113">
        <f>AE174*Valores!$C$50</f>
        <v>35083.838405000002</v>
      </c>
      <c r="AX174" s="113">
        <f>AE174*Valores!$C$52</f>
        <v>54129.350682000004</v>
      </c>
      <c r="AY174" s="113">
        <f>AE174*Valores!$C$51</f>
        <v>6014.3722980000002</v>
      </c>
      <c r="AZ174" s="114"/>
      <c r="BA174" s="114">
        <v>45</v>
      </c>
      <c r="BB174" s="111" t="s">
        <v>4</v>
      </c>
    </row>
    <row r="175" spans="1:54" s="100" customFormat="1" ht="11.25" customHeight="1" x14ac:dyDescent="0.15">
      <c r="A175" s="111" t="s">
        <v>400</v>
      </c>
      <c r="B175" s="111">
        <v>1</v>
      </c>
      <c r="C175" s="114">
        <v>168</v>
      </c>
      <c r="D175" s="112" t="s">
        <v>401</v>
      </c>
      <c r="E175" s="169">
        <v>160</v>
      </c>
      <c r="F175" s="113">
        <f>ROUND(E175*Valores!$C$2,2)</f>
        <v>15648.96</v>
      </c>
      <c r="G175" s="169">
        <f>1484</f>
        <v>1484</v>
      </c>
      <c r="H175" s="113">
        <f>ROUND(G175*Valores!$C$2,2)</f>
        <v>145144.1</v>
      </c>
      <c r="I175" s="169">
        <v>0</v>
      </c>
      <c r="J175" s="113">
        <f>ROUND(I175*Valores!$C$2,2)</f>
        <v>0</v>
      </c>
      <c r="K175" s="169">
        <v>1300</v>
      </c>
      <c r="L175" s="113">
        <f>ROUND(K175*Valores!$C$2,2)</f>
        <v>127147.8</v>
      </c>
      <c r="M175" s="113">
        <f>ROUND(IF($H$2=0,IF(AND(A175&lt;&gt;"13-930",A175&lt;&gt;"13-940"),(SUM(F175,H175,J175,L175,W175,S175,Q175)*Valores!$C$4),0),0),2)</f>
        <v>96681.84</v>
      </c>
      <c r="N175" s="113">
        <f t="shared" si="25"/>
        <v>0</v>
      </c>
      <c r="O175" s="113">
        <f>Valores!C$89</f>
        <v>308514.28999999998</v>
      </c>
      <c r="P175" s="113">
        <f>Valores!$D$5</f>
        <v>49998.43</v>
      </c>
      <c r="Q175" s="113">
        <f>IF($F$4="NO",Valores!$C$26,Valores!$C$26/2)</f>
        <v>52265.18</v>
      </c>
      <c r="R175" s="113">
        <f>Valores!$C$8</f>
        <v>46521.33</v>
      </c>
      <c r="S175" s="113">
        <f t="shared" si="30"/>
        <v>46521.33</v>
      </c>
      <c r="T175" s="113">
        <v>0</v>
      </c>
      <c r="U175" s="113">
        <v>0</v>
      </c>
      <c r="V175" s="169">
        <v>0</v>
      </c>
      <c r="W175" s="113">
        <f>ROUND(V175*Valores!$C$2,2)</f>
        <v>0</v>
      </c>
      <c r="X175" s="113">
        <v>0</v>
      </c>
      <c r="Y175" s="188">
        <v>0</v>
      </c>
      <c r="Z175" s="113">
        <f t="shared" si="26"/>
        <v>0</v>
      </c>
      <c r="AA175" s="169">
        <v>0</v>
      </c>
      <c r="AB175" s="113">
        <f>ROUND(AA175*Valores!$C$2,2)</f>
        <v>0</v>
      </c>
      <c r="AC175" s="113">
        <f>ROUND(IF($F$4="NO",Valores!$C$32,Valores!$C$32/2),2)</f>
        <v>23377.77</v>
      </c>
      <c r="AD175" s="113">
        <f>SUM(F175,H175,J175,L175,M175,N175,O175,P175,Q175,S175,T175,U175,W175,X175,Z175,AB175,AC175)*Valores!$C$58</f>
        <v>86529.970000000016</v>
      </c>
      <c r="AE175" s="113">
        <f t="shared" si="27"/>
        <v>951829.67</v>
      </c>
      <c r="AF175" s="113">
        <f>Valores!$C$12</f>
        <v>72856</v>
      </c>
      <c r="AG175" s="113">
        <f>Valores!$C$59</f>
        <v>25000</v>
      </c>
      <c r="AH175" s="113">
        <f t="shared" si="23"/>
        <v>97856</v>
      </c>
      <c r="AI175" s="113">
        <f>AE175*Valores!$C$39</f>
        <v>-104701.26370000001</v>
      </c>
      <c r="AJ175" s="113">
        <f>IF(AE175&lt;Valores!$E$40,-0.02,IF(AE175&lt;Valores!$F$40,-0.03,-0.04))*AE175</f>
        <v>-28554.890100000001</v>
      </c>
      <c r="AK175" s="113">
        <f>AE175*Valores!$C$42</f>
        <v>-52350.631850000005</v>
      </c>
      <c r="AL175" s="113">
        <f>Valores!$C$56</f>
        <v>-1270.1600000000001</v>
      </c>
      <c r="AM175" s="113">
        <f>IF($F$5=0,Valores!$C$57,(Valores!$C$57+$F$5*(Valores!$C$57)))</f>
        <v>-7026</v>
      </c>
      <c r="AN175" s="113">
        <f t="shared" si="28"/>
        <v>855782.72435000003</v>
      </c>
      <c r="AO175" s="113">
        <f t="shared" si="22"/>
        <v>-104701.26370000001</v>
      </c>
      <c r="AP175" s="113">
        <f t="shared" si="29"/>
        <v>-28554.890100000001</v>
      </c>
      <c r="AQ175" s="113">
        <f>AE175*Valores!$C$43</f>
        <v>-25699.401089999999</v>
      </c>
      <c r="AR175" s="113">
        <f>AE175*Valores!$C$44</f>
        <v>-2855.4890100000002</v>
      </c>
      <c r="AS175" s="113">
        <f t="shared" si="24"/>
        <v>887874.62609999999</v>
      </c>
      <c r="AT175" s="113">
        <f>AE175*Valores!$C$46</f>
        <v>152292.74720000001</v>
      </c>
      <c r="AU175" s="113">
        <f>AE175*Valores!$C$47</f>
        <v>66628.076900000015</v>
      </c>
      <c r="AV175" s="113">
        <f>AE175*Valores!$C$48</f>
        <v>9518.2967000000008</v>
      </c>
      <c r="AW175" s="113">
        <f>AE175*Valores!$C$50</f>
        <v>33314.038450000007</v>
      </c>
      <c r="AX175" s="113">
        <f>AE175*Valores!$C$52</f>
        <v>51398.802179999999</v>
      </c>
      <c r="AY175" s="113">
        <f>AE175*Valores!$C$51</f>
        <v>5710.9780200000005</v>
      </c>
      <c r="AZ175" s="114"/>
      <c r="BA175" s="114">
        <v>45</v>
      </c>
      <c r="BB175" s="111" t="s">
        <v>4</v>
      </c>
    </row>
    <row r="176" spans="1:54" s="100" customFormat="1" ht="11.25" customHeight="1" x14ac:dyDescent="0.15">
      <c r="A176" s="111" t="s">
        <v>402</v>
      </c>
      <c r="B176" s="111">
        <v>1</v>
      </c>
      <c r="C176" s="114">
        <v>169</v>
      </c>
      <c r="D176" s="112" t="s">
        <v>403</v>
      </c>
      <c r="E176" s="169">
        <v>178</v>
      </c>
      <c r="F176" s="113">
        <f>ROUND(E176*Valores!$C$2,2)</f>
        <v>17409.47</v>
      </c>
      <c r="G176" s="169">
        <f>1842</f>
        <v>1842</v>
      </c>
      <c r="H176" s="113">
        <f>ROUND(G176*Valores!$C$2,2)</f>
        <v>180158.65</v>
      </c>
      <c r="I176" s="169">
        <v>0</v>
      </c>
      <c r="J176" s="113">
        <f>ROUND(I176*Valores!$C$2,2)</f>
        <v>0</v>
      </c>
      <c r="K176" s="169">
        <v>1300</v>
      </c>
      <c r="L176" s="113">
        <f>ROUND(K176*Valores!$C$2,2)</f>
        <v>127147.8</v>
      </c>
      <c r="M176" s="113">
        <f>ROUND(IF($H$2=0,IF(AND(A176&lt;&gt;"13-930",A176&lt;&gt;"13-940"),(SUM(F176,H176,J176,L176,W176,S176,Q176)*Valores!$C$4),0),0),2)</f>
        <v>105875.61</v>
      </c>
      <c r="N176" s="113">
        <f t="shared" si="25"/>
        <v>0</v>
      </c>
      <c r="O176" s="113">
        <f>Valores!C$89</f>
        <v>308514.28999999998</v>
      </c>
      <c r="P176" s="113">
        <f>Valores!$D$5</f>
        <v>49998.43</v>
      </c>
      <c r="Q176" s="113">
        <f>IF($F$4="NO",Valores!$C$26,Valores!$C$26/2)</f>
        <v>52265.18</v>
      </c>
      <c r="R176" s="113">
        <f>Valores!$C$8</f>
        <v>46521.33</v>
      </c>
      <c r="S176" s="113">
        <f t="shared" si="30"/>
        <v>46521.33</v>
      </c>
      <c r="T176" s="113">
        <v>0</v>
      </c>
      <c r="U176" s="113">
        <v>0</v>
      </c>
      <c r="V176" s="169">
        <v>0</v>
      </c>
      <c r="W176" s="113">
        <f>ROUND(V176*Valores!$C$2,2)</f>
        <v>0</v>
      </c>
      <c r="X176" s="113">
        <v>0</v>
      </c>
      <c r="Y176" s="188">
        <v>0</v>
      </c>
      <c r="Z176" s="113">
        <f t="shared" si="26"/>
        <v>0</v>
      </c>
      <c r="AA176" s="169">
        <v>0</v>
      </c>
      <c r="AB176" s="113">
        <f>ROUND(AA176*Valores!$C$2,2)</f>
        <v>0</v>
      </c>
      <c r="AC176" s="113">
        <f>ROUND(IF($F$4="NO",Valores!$C$32,Valores!$C$32/2),2)</f>
        <v>23377.77</v>
      </c>
      <c r="AD176" s="113">
        <f>SUM(F176,H176,J176,L176,M176,N176,O176,P176,Q176,S176,T176,U176,W176,X176,Z176,AB176,AC176)*Valores!$C$58</f>
        <v>91126.853000000003</v>
      </c>
      <c r="AE176" s="113">
        <f t="shared" si="27"/>
        <v>1002395.383</v>
      </c>
      <c r="AF176" s="113">
        <f>Valores!$C$12</f>
        <v>72856</v>
      </c>
      <c r="AG176" s="113">
        <f>Valores!$C$59</f>
        <v>25000</v>
      </c>
      <c r="AH176" s="113">
        <f t="shared" si="23"/>
        <v>97856</v>
      </c>
      <c r="AI176" s="113">
        <f>AE176*Valores!$C$39</f>
        <v>-110263.49213</v>
      </c>
      <c r="AJ176" s="113">
        <f>IF(AE176&lt;Valores!$E$40,-0.02,IF(AE176&lt;Valores!$F$40,-0.03,-0.04))*AE176</f>
        <v>-40095.815320000002</v>
      </c>
      <c r="AK176" s="113">
        <f>AE176*Valores!$C$42</f>
        <v>-55131.746064999999</v>
      </c>
      <c r="AL176" s="113">
        <f>Valores!$C$56</f>
        <v>-1270.1600000000001</v>
      </c>
      <c r="AM176" s="113">
        <f>IF($F$5=0,Valores!$C$57,(Valores!$C$57+$F$5*(Valores!$C$57)))</f>
        <v>-7026</v>
      </c>
      <c r="AN176" s="113">
        <f t="shared" si="28"/>
        <v>886464.16948499996</v>
      </c>
      <c r="AO176" s="113">
        <f t="shared" si="22"/>
        <v>-110263.49213</v>
      </c>
      <c r="AP176" s="113">
        <f t="shared" si="29"/>
        <v>-40095.815320000002</v>
      </c>
      <c r="AQ176" s="113">
        <f>AE176*Valores!$C$43</f>
        <v>-27064.675341000002</v>
      </c>
      <c r="AR176" s="113">
        <f>AE176*Valores!$C$44</f>
        <v>-3007.1861490000001</v>
      </c>
      <c r="AS176" s="113">
        <f t="shared" si="24"/>
        <v>919820.21405999991</v>
      </c>
      <c r="AT176" s="113">
        <f>AE176*Valores!$C$46</f>
        <v>160383.26128000001</v>
      </c>
      <c r="AU176" s="113">
        <f>AE176*Valores!$C$47</f>
        <v>70167.676810000004</v>
      </c>
      <c r="AV176" s="113">
        <f>AE176*Valores!$C$48</f>
        <v>10023.95383</v>
      </c>
      <c r="AW176" s="113">
        <f>AE176*Valores!$C$50</f>
        <v>35083.838405000002</v>
      </c>
      <c r="AX176" s="113">
        <f>AE176*Valores!$C$52</f>
        <v>54129.350682000004</v>
      </c>
      <c r="AY176" s="113">
        <f>AE176*Valores!$C$51</f>
        <v>6014.3722980000002</v>
      </c>
      <c r="AZ176" s="114"/>
      <c r="BA176" s="114">
        <v>45</v>
      </c>
      <c r="BB176" s="111" t="s">
        <v>4</v>
      </c>
    </row>
    <row r="177" spans="1:54" s="100" customFormat="1" ht="11.25" customHeight="1" x14ac:dyDescent="0.15">
      <c r="A177" s="111" t="s">
        <v>404</v>
      </c>
      <c r="B177" s="111">
        <v>1</v>
      </c>
      <c r="C177" s="114">
        <v>170</v>
      </c>
      <c r="D177" s="112" t="s">
        <v>405</v>
      </c>
      <c r="E177" s="169">
        <v>1278</v>
      </c>
      <c r="F177" s="113">
        <f>ROUND(E177*Valores!$C$2,2)</f>
        <v>124996.07</v>
      </c>
      <c r="G177" s="169">
        <v>0</v>
      </c>
      <c r="H177" s="113">
        <f>ROUND(G177*Valores!$C$2,2)</f>
        <v>0</v>
      </c>
      <c r="I177" s="169">
        <v>0</v>
      </c>
      <c r="J177" s="113">
        <f>ROUND(I177*Valores!$C$2,2)</f>
        <v>0</v>
      </c>
      <c r="K177" s="169">
        <v>1200</v>
      </c>
      <c r="L177" s="113">
        <f>ROUND(K177*Valores!$C$2,2)</f>
        <v>117367.2</v>
      </c>
      <c r="M177" s="113">
        <f>ROUND(IF($H$2=0,IF(AND(A177&lt;&gt;"13-930",A177&lt;&gt;"13-940"),(SUM(F177,H177,J177,L177,W177,S177,Q177)*Valores!$C$4),0),0),2)</f>
        <v>85287.45</v>
      </c>
      <c r="N177" s="113">
        <f t="shared" si="25"/>
        <v>0</v>
      </c>
      <c r="O177" s="113">
        <f>Valores!C$87</f>
        <v>270128.75</v>
      </c>
      <c r="P177" s="113">
        <f>Valores!$D$5</f>
        <v>49998.43</v>
      </c>
      <c r="Q177" s="113">
        <f>IF($F$4="NO",Valores!$C$26,Valores!$C$26/2)</f>
        <v>52265.18</v>
      </c>
      <c r="R177" s="113">
        <f>Valores!$C$8</f>
        <v>46521.33</v>
      </c>
      <c r="S177" s="113">
        <f t="shared" si="30"/>
        <v>46521.33</v>
      </c>
      <c r="T177" s="113">
        <v>0</v>
      </c>
      <c r="U177" s="113">
        <v>0</v>
      </c>
      <c r="V177" s="169">
        <v>0</v>
      </c>
      <c r="W177" s="113">
        <f>ROUND(V177*Valores!$C$2,2)</f>
        <v>0</v>
      </c>
      <c r="X177" s="113">
        <v>0</v>
      </c>
      <c r="Y177" s="188">
        <v>0</v>
      </c>
      <c r="Z177" s="113">
        <f t="shared" si="26"/>
        <v>0</v>
      </c>
      <c r="AA177" s="169">
        <v>0</v>
      </c>
      <c r="AB177" s="113">
        <f>ROUND(AA177*Valores!$C$2,2)</f>
        <v>0</v>
      </c>
      <c r="AC177" s="113">
        <f>ROUND(IF($F$4="NO",Valores!$C$32,Valores!$C$32/2),2)</f>
        <v>23377.77</v>
      </c>
      <c r="AD177" s="113">
        <f>SUM(F177,H177,J177,L177,M177,N177,O177,P177,Q177,S177,T177,U177,W177,X177,Z177,AB177,AC177)*Valores!$C$58</f>
        <v>76994.218000000008</v>
      </c>
      <c r="AE177" s="113">
        <f t="shared" si="27"/>
        <v>846936.39800000004</v>
      </c>
      <c r="AF177" s="113">
        <f>Valores!$C$12</f>
        <v>72856</v>
      </c>
      <c r="AG177" s="113">
        <f>Valores!$C$59</f>
        <v>25000</v>
      </c>
      <c r="AH177" s="113">
        <f t="shared" si="23"/>
        <v>97856</v>
      </c>
      <c r="AI177" s="113">
        <f>AE177*Valores!$C$39</f>
        <v>-93163.003779999999</v>
      </c>
      <c r="AJ177" s="113">
        <f>IF(AE177&lt;Valores!$E$40,-0.02,IF(AE177&lt;Valores!$F$40,-0.03,-0.04))*AE177</f>
        <v>-25408.091940000002</v>
      </c>
      <c r="AK177" s="113">
        <f>AE177*Valores!$C$42</f>
        <v>-46581.50189</v>
      </c>
      <c r="AL177" s="113">
        <f>Valores!$C$56</f>
        <v>-1270.1600000000001</v>
      </c>
      <c r="AM177" s="113">
        <f>IF($F$5=0,Valores!$C$57,(Valores!$C$57+$F$5*(Valores!$C$57)))</f>
        <v>-7026</v>
      </c>
      <c r="AN177" s="113">
        <f t="shared" si="28"/>
        <v>771343.64039000007</v>
      </c>
      <c r="AO177" s="113">
        <f t="shared" si="22"/>
        <v>-93163.003779999999</v>
      </c>
      <c r="AP177" s="113">
        <f t="shared" si="29"/>
        <v>-25408.091940000002</v>
      </c>
      <c r="AQ177" s="113">
        <f>AE177*Valores!$C$43</f>
        <v>-22867.282746000001</v>
      </c>
      <c r="AR177" s="113">
        <f>AE177*Valores!$C$44</f>
        <v>-2540.8091940000004</v>
      </c>
      <c r="AS177" s="113">
        <f t="shared" si="24"/>
        <v>800813.21033999999</v>
      </c>
      <c r="AT177" s="113">
        <f>AE177*Valores!$C$46</f>
        <v>135509.82368</v>
      </c>
      <c r="AU177" s="113">
        <f>AE177*Valores!$C$47</f>
        <v>59285.547860000006</v>
      </c>
      <c r="AV177" s="113">
        <f>AE177*Valores!$C$48</f>
        <v>8469.3639800000001</v>
      </c>
      <c r="AW177" s="113">
        <f>AE177*Valores!$C$50</f>
        <v>29642.773930000003</v>
      </c>
      <c r="AX177" s="113">
        <f>AE177*Valores!$C$52</f>
        <v>45734.565492000002</v>
      </c>
      <c r="AY177" s="113">
        <f>AE177*Valores!$C$51</f>
        <v>5081.6183880000008</v>
      </c>
      <c r="AZ177" s="114"/>
      <c r="BA177" s="114"/>
      <c r="BB177" s="111" t="s">
        <v>4</v>
      </c>
    </row>
    <row r="178" spans="1:54" s="100" customFormat="1" ht="11.25" customHeight="1" x14ac:dyDescent="0.15">
      <c r="A178" s="111" t="s">
        <v>406</v>
      </c>
      <c r="B178" s="111">
        <v>1</v>
      </c>
      <c r="C178" s="114">
        <v>171</v>
      </c>
      <c r="D178" s="112" t="s">
        <v>407</v>
      </c>
      <c r="E178" s="169">
        <v>971</v>
      </c>
      <c r="F178" s="113">
        <f>ROUND(E178*Valores!$C$2,2)</f>
        <v>94969.63</v>
      </c>
      <c r="G178" s="169">
        <v>0</v>
      </c>
      <c r="H178" s="113">
        <f>ROUND(G178*Valores!$C$2,2)</f>
        <v>0</v>
      </c>
      <c r="I178" s="169">
        <v>0</v>
      </c>
      <c r="J178" s="113">
        <f>ROUND(I178*Valores!$C$2,2)</f>
        <v>0</v>
      </c>
      <c r="K178" s="169">
        <v>660</v>
      </c>
      <c r="L178" s="113">
        <f>ROUND(K178*Valores!$C$2,2)</f>
        <v>64551.96</v>
      </c>
      <c r="M178" s="113">
        <f>ROUND(IF($H$2=0,IF(AND(A178&lt;&gt;"13-930",A178&lt;&gt;"13-940"),(SUM(F178,H178,J178,L178,W178,S178,Q178)*Valores!$C$4),0),0),2)</f>
        <v>64577.03</v>
      </c>
      <c r="N178" s="113">
        <f t="shared" si="25"/>
        <v>0</v>
      </c>
      <c r="O178" s="113">
        <f>Valores!C$87</f>
        <v>270128.75</v>
      </c>
      <c r="P178" s="113">
        <f>Valores!$D$5</f>
        <v>49998.43</v>
      </c>
      <c r="Q178" s="113">
        <f>IF($F$4="NO",Valores!$C$26,Valores!$C$26/2)</f>
        <v>52265.18</v>
      </c>
      <c r="R178" s="113">
        <f>Valores!$C$8</f>
        <v>46521.33</v>
      </c>
      <c r="S178" s="113">
        <f t="shared" si="30"/>
        <v>46521.33</v>
      </c>
      <c r="T178" s="113">
        <v>0</v>
      </c>
      <c r="U178" s="113">
        <v>0</v>
      </c>
      <c r="V178" s="169">
        <v>0</v>
      </c>
      <c r="W178" s="113">
        <f>ROUND(V178*Valores!$C$2,2)</f>
        <v>0</v>
      </c>
      <c r="X178" s="113">
        <v>0</v>
      </c>
      <c r="Y178" s="188">
        <v>0</v>
      </c>
      <c r="Z178" s="113">
        <f t="shared" si="26"/>
        <v>0</v>
      </c>
      <c r="AA178" s="169">
        <v>0</v>
      </c>
      <c r="AB178" s="113">
        <f>ROUND(AA178*Valores!$C$2,2)</f>
        <v>0</v>
      </c>
      <c r="AC178" s="113">
        <f>ROUND(IF($F$4="NO",Valores!$C$32,Valores!$C$32/2),2)</f>
        <v>23377.77</v>
      </c>
      <c r="AD178" s="113">
        <f>SUM(F178,H178,J178,L178,M178,N178,O178,P178,Q178,S178,T178,U178,W178,X178,Z178,AB178,AC178)*Valores!$C$58</f>
        <v>66639.008000000016</v>
      </c>
      <c r="AE178" s="113">
        <f t="shared" si="27"/>
        <v>733029.08800000011</v>
      </c>
      <c r="AF178" s="113">
        <f>Valores!$C$11</f>
        <v>36428</v>
      </c>
      <c r="AG178" s="113">
        <f>Valores!$C$59</f>
        <v>25000</v>
      </c>
      <c r="AH178" s="113">
        <f t="shared" si="23"/>
        <v>61428</v>
      </c>
      <c r="AI178" s="113">
        <f>AE178*Valores!$C$39</f>
        <v>-80633.199680000005</v>
      </c>
      <c r="AJ178" s="113">
        <f>IF(AE178&lt;Valores!$E$40,-0.02,IF(AE178&lt;Valores!$F$40,-0.03,-0.04))*AE178</f>
        <v>-14660.581760000003</v>
      </c>
      <c r="AK178" s="113">
        <f>AE178*Valores!$C$42</f>
        <v>-40316.599840000003</v>
      </c>
      <c r="AL178" s="113">
        <f>Valores!$C$56</f>
        <v>-1270.1600000000001</v>
      </c>
      <c r="AM178" s="113">
        <f>IF($F$5=0,Valores!$C$57,(Valores!$C$57+$F$5*(Valores!$C$57)))</f>
        <v>-7026</v>
      </c>
      <c r="AN178" s="113">
        <f t="shared" si="28"/>
        <v>650550.5467200001</v>
      </c>
      <c r="AO178" s="113">
        <f t="shared" si="22"/>
        <v>-80633.199680000005</v>
      </c>
      <c r="AP178" s="113">
        <f t="shared" si="29"/>
        <v>-14660.581760000003</v>
      </c>
      <c r="AQ178" s="113">
        <f>AE178*Valores!$C$43</f>
        <v>-19791.785376000003</v>
      </c>
      <c r="AR178" s="113">
        <f>AE178*Valores!$C$44</f>
        <v>-2199.0872640000002</v>
      </c>
      <c r="AS178" s="113">
        <f t="shared" si="24"/>
        <v>677172.4339200001</v>
      </c>
      <c r="AT178" s="113">
        <f>AE178*Valores!$C$46</f>
        <v>117284.65408000002</v>
      </c>
      <c r="AU178" s="113">
        <f>AE178*Valores!$C$47</f>
        <v>51312.036160000011</v>
      </c>
      <c r="AV178" s="113">
        <f>AE178*Valores!$C$48</f>
        <v>7330.2908800000014</v>
      </c>
      <c r="AW178" s="113">
        <f>AE178*Valores!$C$50</f>
        <v>25656.018080000005</v>
      </c>
      <c r="AX178" s="113">
        <f>AE178*Valores!$C$52</f>
        <v>39583.570752000007</v>
      </c>
      <c r="AY178" s="113">
        <f>AE178*Valores!$C$51</f>
        <v>4398.1745280000005</v>
      </c>
      <c r="AZ178" s="114"/>
      <c r="BA178" s="114">
        <v>18</v>
      </c>
      <c r="BB178" s="111" t="s">
        <v>4</v>
      </c>
    </row>
    <row r="179" spans="1:54" s="100" customFormat="1" ht="11.25" customHeight="1" x14ac:dyDescent="0.15">
      <c r="A179" s="111" t="s">
        <v>408</v>
      </c>
      <c r="B179" s="111">
        <v>1</v>
      </c>
      <c r="C179" s="114">
        <v>172</v>
      </c>
      <c r="D179" s="112" t="s">
        <v>409</v>
      </c>
      <c r="E179" s="169">
        <v>213</v>
      </c>
      <c r="F179" s="113">
        <f>ROUND(E179*Valores!$C$2,2)</f>
        <v>20832.68</v>
      </c>
      <c r="G179" s="169">
        <f>1835</f>
        <v>1835</v>
      </c>
      <c r="H179" s="113">
        <f>ROUND(G179*Valores!$C$2,2)</f>
        <v>179474.01</v>
      </c>
      <c r="I179" s="169">
        <v>0</v>
      </c>
      <c r="J179" s="113">
        <f>ROUND(I179*Valores!$C$2,2)</f>
        <v>0</v>
      </c>
      <c r="K179" s="169">
        <v>1300</v>
      </c>
      <c r="L179" s="113">
        <f>ROUND(K179*Valores!$C$2,2)</f>
        <v>127147.8</v>
      </c>
      <c r="M179" s="113">
        <f>ROUND(IF($H$2=0,IF(AND(A179&lt;&gt;"13-930",A179&lt;&gt;"13-940"),(SUM(F179,H179,J179,L179,W179,S179,Q179)*Valores!$C$4),0),0),2)</f>
        <v>106560.25</v>
      </c>
      <c r="N179" s="113">
        <f t="shared" si="25"/>
        <v>0</v>
      </c>
      <c r="O179" s="113">
        <f>Valores!C$89</f>
        <v>308514.28999999998</v>
      </c>
      <c r="P179" s="113">
        <f>Valores!$D$5</f>
        <v>49998.43</v>
      </c>
      <c r="Q179" s="113">
        <f>IF($F$4="NO",Valores!$C$26,Valores!$C$26/2)</f>
        <v>52265.18</v>
      </c>
      <c r="R179" s="113">
        <f>Valores!$C$8</f>
        <v>46521.33</v>
      </c>
      <c r="S179" s="113">
        <f t="shared" si="30"/>
        <v>46521.33</v>
      </c>
      <c r="T179" s="113">
        <v>0</v>
      </c>
      <c r="U179" s="113">
        <v>0</v>
      </c>
      <c r="V179" s="169">
        <v>0</v>
      </c>
      <c r="W179" s="113">
        <f>ROUND(V179*Valores!$C$2,2)</f>
        <v>0</v>
      </c>
      <c r="X179" s="113">
        <v>0</v>
      </c>
      <c r="Y179" s="188">
        <v>0</v>
      </c>
      <c r="Z179" s="113">
        <f t="shared" si="26"/>
        <v>0</v>
      </c>
      <c r="AA179" s="169">
        <v>0</v>
      </c>
      <c r="AB179" s="113">
        <f>ROUND(AA179*Valores!$C$2,2)</f>
        <v>0</v>
      </c>
      <c r="AC179" s="113">
        <f>ROUND(IF($F$4="NO",Valores!$C$32,Valores!$C$32/2),2)</f>
        <v>23377.77</v>
      </c>
      <c r="AD179" s="113">
        <f>SUM(F179,H179,J179,L179,M179,N179,O179,P179,Q179,S179,T179,U179,W179,X179,Z179,AB179,AC179)*Valores!$C$58</f>
        <v>91469.174000000014</v>
      </c>
      <c r="AE179" s="113">
        <f t="shared" si="27"/>
        <v>1006160.9140000001</v>
      </c>
      <c r="AF179" s="113">
        <f>Valores!$C$12</f>
        <v>72856</v>
      </c>
      <c r="AG179" s="113">
        <f>Valores!$C$59</f>
        <v>25000</v>
      </c>
      <c r="AH179" s="113">
        <f t="shared" si="23"/>
        <v>97856</v>
      </c>
      <c r="AI179" s="113">
        <f>AE179*Valores!$C$39</f>
        <v>-110677.70054000001</v>
      </c>
      <c r="AJ179" s="113">
        <f>IF(AE179&lt;Valores!$E$40,-0.02,IF(AE179&lt;Valores!$F$40,-0.03,-0.04))*AE179</f>
        <v>-40246.436560000002</v>
      </c>
      <c r="AK179" s="113">
        <f>AE179*Valores!$C$42</f>
        <v>-55338.850270000003</v>
      </c>
      <c r="AL179" s="113">
        <f>Valores!$C$56</f>
        <v>-1270.1600000000001</v>
      </c>
      <c r="AM179" s="113">
        <f>IF($F$5=0,Valores!$C$57,(Valores!$C$57+$F$5*(Valores!$C$57)))</f>
        <v>-7026</v>
      </c>
      <c r="AN179" s="113">
        <f t="shared" si="28"/>
        <v>889457.76663000009</v>
      </c>
      <c r="AO179" s="113">
        <f t="shared" si="22"/>
        <v>-110677.70054000001</v>
      </c>
      <c r="AP179" s="113">
        <f t="shared" si="29"/>
        <v>-40246.436560000002</v>
      </c>
      <c r="AQ179" s="113">
        <f>AE179*Valores!$C$43</f>
        <v>-27166.344678000001</v>
      </c>
      <c r="AR179" s="113">
        <f>AE179*Valores!$C$44</f>
        <v>-3018.4827420000006</v>
      </c>
      <c r="AS179" s="113">
        <f t="shared" si="24"/>
        <v>922907.94948000018</v>
      </c>
      <c r="AT179" s="113">
        <f>AE179*Valores!$C$46</f>
        <v>160985.74624000001</v>
      </c>
      <c r="AU179" s="113">
        <f>AE179*Valores!$C$47</f>
        <v>70431.263980000018</v>
      </c>
      <c r="AV179" s="113">
        <f>AE179*Valores!$C$48</f>
        <v>10061.60914</v>
      </c>
      <c r="AW179" s="113">
        <f>AE179*Valores!$C$50</f>
        <v>35215.631990000009</v>
      </c>
      <c r="AX179" s="113">
        <f>AE179*Valores!$C$52</f>
        <v>54332.689356000003</v>
      </c>
      <c r="AY179" s="113">
        <f>AE179*Valores!$C$51</f>
        <v>6036.9654840000012</v>
      </c>
      <c r="AZ179" s="114"/>
      <c r="BA179" s="114">
        <v>45</v>
      </c>
      <c r="BB179" s="111" t="s">
        <v>4</v>
      </c>
    </row>
    <row r="180" spans="1:54" s="100" customFormat="1" ht="11.25" customHeight="1" x14ac:dyDescent="0.15">
      <c r="A180" s="111" t="s">
        <v>410</v>
      </c>
      <c r="B180" s="111">
        <v>1</v>
      </c>
      <c r="C180" s="114">
        <v>173</v>
      </c>
      <c r="D180" s="112" t="s">
        <v>411</v>
      </c>
      <c r="E180" s="169">
        <v>185</v>
      </c>
      <c r="F180" s="113">
        <f>ROUND(E180*Valores!$C$2,2)</f>
        <v>18094.11</v>
      </c>
      <c r="G180" s="169">
        <f>1835</f>
        <v>1835</v>
      </c>
      <c r="H180" s="113">
        <f>ROUND(G180*Valores!$C$2,2)</f>
        <v>179474.01</v>
      </c>
      <c r="I180" s="169">
        <v>0</v>
      </c>
      <c r="J180" s="113">
        <f>ROUND(I180*Valores!$C$2,2)</f>
        <v>0</v>
      </c>
      <c r="K180" s="169">
        <v>1300</v>
      </c>
      <c r="L180" s="113">
        <f>ROUND(K180*Valores!$C$2,2)</f>
        <v>127147.8</v>
      </c>
      <c r="M180" s="113">
        <f>ROUND(IF($H$2=0,IF(AND(A180&lt;&gt;"13-930",A180&lt;&gt;"13-940"),(SUM(F180,H180,J180,L180,W180,S180,Q180)*Valores!$C$4),0),0),2)</f>
        <v>105875.61</v>
      </c>
      <c r="N180" s="113">
        <f t="shared" si="25"/>
        <v>0</v>
      </c>
      <c r="O180" s="113">
        <f>Valores!C$89</f>
        <v>308514.28999999998</v>
      </c>
      <c r="P180" s="113">
        <f>Valores!$D$5</f>
        <v>49998.43</v>
      </c>
      <c r="Q180" s="113">
        <f>IF($F$4="NO",Valores!$C$26,Valores!$C$26/2)</f>
        <v>52265.18</v>
      </c>
      <c r="R180" s="113">
        <f>Valores!$C$8</f>
        <v>46521.33</v>
      </c>
      <c r="S180" s="113">
        <f t="shared" si="30"/>
        <v>46521.33</v>
      </c>
      <c r="T180" s="113">
        <v>0</v>
      </c>
      <c r="U180" s="113">
        <v>0</v>
      </c>
      <c r="V180" s="169">
        <v>0</v>
      </c>
      <c r="W180" s="113">
        <f>ROUND(V180*Valores!$C$2,2)</f>
        <v>0</v>
      </c>
      <c r="X180" s="113">
        <v>0</v>
      </c>
      <c r="Y180" s="188">
        <v>0</v>
      </c>
      <c r="Z180" s="113">
        <f t="shared" si="26"/>
        <v>0</v>
      </c>
      <c r="AA180" s="169">
        <v>0</v>
      </c>
      <c r="AB180" s="113">
        <f>ROUND(AA180*Valores!$C$2,2)</f>
        <v>0</v>
      </c>
      <c r="AC180" s="113">
        <f>ROUND(IF($F$4="NO",Valores!$C$32,Valores!$C$32/2),2)</f>
        <v>23377.77</v>
      </c>
      <c r="AD180" s="113">
        <f>SUM(F180,H180,J180,L180,M180,N180,O180,P180,Q180,S180,T180,U180,W180,X180,Z180,AB180,AC180)*Valores!$C$58</f>
        <v>91126.853000000003</v>
      </c>
      <c r="AE180" s="113">
        <f t="shared" si="27"/>
        <v>1002395.383</v>
      </c>
      <c r="AF180" s="113">
        <f>Valores!$C$12</f>
        <v>72856</v>
      </c>
      <c r="AG180" s="113">
        <f>Valores!$C$59</f>
        <v>25000</v>
      </c>
      <c r="AH180" s="113">
        <f t="shared" si="23"/>
        <v>97856</v>
      </c>
      <c r="AI180" s="113">
        <f>AE180*Valores!$C$39</f>
        <v>-110263.49213</v>
      </c>
      <c r="AJ180" s="113">
        <f>IF(AE180&lt;Valores!$E$40,-0.02,IF(AE180&lt;Valores!$F$40,-0.03,-0.04))*AE180</f>
        <v>-40095.815320000002</v>
      </c>
      <c r="AK180" s="113">
        <f>AE180*Valores!$C$42</f>
        <v>-55131.746064999999</v>
      </c>
      <c r="AL180" s="113">
        <f>Valores!$C$56</f>
        <v>-1270.1600000000001</v>
      </c>
      <c r="AM180" s="113">
        <f>IF($F$5=0,Valores!$C$57,(Valores!$C$57+$F$5*(Valores!$C$57)))</f>
        <v>-7026</v>
      </c>
      <c r="AN180" s="113">
        <f t="shared" si="28"/>
        <v>886464.16948499996</v>
      </c>
      <c r="AO180" s="113">
        <f t="shared" si="22"/>
        <v>-110263.49213</v>
      </c>
      <c r="AP180" s="113">
        <f t="shared" si="29"/>
        <v>-40095.815320000002</v>
      </c>
      <c r="AQ180" s="113">
        <f>AE180*Valores!$C$43</f>
        <v>-27064.675341000002</v>
      </c>
      <c r="AR180" s="113">
        <f>AE180*Valores!$C$44</f>
        <v>-3007.1861490000001</v>
      </c>
      <c r="AS180" s="113">
        <f t="shared" si="24"/>
        <v>919820.21405999991</v>
      </c>
      <c r="AT180" s="113">
        <f>AE180*Valores!$C$46</f>
        <v>160383.26128000001</v>
      </c>
      <c r="AU180" s="113">
        <f>AE180*Valores!$C$47</f>
        <v>70167.676810000004</v>
      </c>
      <c r="AV180" s="113">
        <f>AE180*Valores!$C$48</f>
        <v>10023.95383</v>
      </c>
      <c r="AW180" s="113">
        <f>AE180*Valores!$C$50</f>
        <v>35083.838405000002</v>
      </c>
      <c r="AX180" s="113">
        <f>AE180*Valores!$C$52</f>
        <v>54129.350682000004</v>
      </c>
      <c r="AY180" s="113">
        <f>AE180*Valores!$C$51</f>
        <v>6014.3722980000002</v>
      </c>
      <c r="AZ180" s="114"/>
      <c r="BA180" s="114">
        <v>45</v>
      </c>
      <c r="BB180" s="111" t="s">
        <v>4</v>
      </c>
    </row>
    <row r="181" spans="1:54" s="100" customFormat="1" ht="11.25" customHeight="1" x14ac:dyDescent="0.15">
      <c r="A181" s="111" t="s">
        <v>412</v>
      </c>
      <c r="B181" s="111">
        <v>1</v>
      </c>
      <c r="C181" s="114">
        <v>174</v>
      </c>
      <c r="D181" s="112" t="s">
        <v>413</v>
      </c>
      <c r="E181" s="169">
        <v>160</v>
      </c>
      <c r="F181" s="113">
        <f>ROUND(E181*Valores!$C$2,2)</f>
        <v>15648.96</v>
      </c>
      <c r="G181" s="169">
        <f>1484</f>
        <v>1484</v>
      </c>
      <c r="H181" s="113">
        <f>ROUND(G181*Valores!$C$2,2)</f>
        <v>145144.1</v>
      </c>
      <c r="I181" s="169">
        <v>0</v>
      </c>
      <c r="J181" s="113">
        <f>ROUND(I181*Valores!$C$2,2)</f>
        <v>0</v>
      </c>
      <c r="K181" s="169">
        <v>1300</v>
      </c>
      <c r="L181" s="113">
        <f>ROUND(K181*Valores!$C$2,2)</f>
        <v>127147.8</v>
      </c>
      <c r="M181" s="113">
        <f>ROUND(IF($H$2=0,IF(AND(A181&lt;&gt;"13-930",A181&lt;&gt;"13-940"),(SUM(F181,H181,J181,L181,W181,S181,Q181)*Valores!$C$4),0),0),2)</f>
        <v>96681.84</v>
      </c>
      <c r="N181" s="113">
        <f t="shared" si="25"/>
        <v>0</v>
      </c>
      <c r="O181" s="113">
        <f>Valores!C$89</f>
        <v>308514.28999999998</v>
      </c>
      <c r="P181" s="113">
        <f>Valores!$D$5</f>
        <v>49998.43</v>
      </c>
      <c r="Q181" s="113">
        <f>IF($F$4="NO",Valores!$C$26,Valores!$C$26/2)</f>
        <v>52265.18</v>
      </c>
      <c r="R181" s="113">
        <f>Valores!$C$8</f>
        <v>46521.33</v>
      </c>
      <c r="S181" s="113">
        <f t="shared" si="30"/>
        <v>46521.33</v>
      </c>
      <c r="T181" s="113">
        <v>0</v>
      </c>
      <c r="U181" s="113">
        <v>0</v>
      </c>
      <c r="V181" s="169">
        <v>0</v>
      </c>
      <c r="W181" s="113">
        <f>ROUND(V181*Valores!$C$2,2)</f>
        <v>0</v>
      </c>
      <c r="X181" s="113">
        <v>0</v>
      </c>
      <c r="Y181" s="188">
        <v>0</v>
      </c>
      <c r="Z181" s="113">
        <f t="shared" si="26"/>
        <v>0</v>
      </c>
      <c r="AA181" s="169">
        <v>0</v>
      </c>
      <c r="AB181" s="113">
        <f>ROUND(AA181*Valores!$C$2,2)</f>
        <v>0</v>
      </c>
      <c r="AC181" s="113">
        <f>ROUND(IF($F$4="NO",Valores!$C$32,Valores!$C$32/2),2)</f>
        <v>23377.77</v>
      </c>
      <c r="AD181" s="113">
        <f>SUM(F181,H181,J181,L181,M181,N181,O181,P181,Q181,S181,T181,U181,W181,X181,Z181,AB181,AC181)*Valores!$C$58</f>
        <v>86529.970000000016</v>
      </c>
      <c r="AE181" s="113">
        <f t="shared" si="27"/>
        <v>951829.67</v>
      </c>
      <c r="AF181" s="113">
        <f>Valores!$C$12</f>
        <v>72856</v>
      </c>
      <c r="AG181" s="113">
        <f>Valores!$C$59</f>
        <v>25000</v>
      </c>
      <c r="AH181" s="113">
        <f t="shared" si="23"/>
        <v>97856</v>
      </c>
      <c r="AI181" s="113">
        <f>AE181*Valores!$C$39</f>
        <v>-104701.26370000001</v>
      </c>
      <c r="AJ181" s="113">
        <f>IF(AE181&lt;Valores!$E$40,-0.02,IF(AE181&lt;Valores!$F$40,-0.03,-0.04))*AE181</f>
        <v>-28554.890100000001</v>
      </c>
      <c r="AK181" s="113">
        <f>AE181*Valores!$C$42</f>
        <v>-52350.631850000005</v>
      </c>
      <c r="AL181" s="113">
        <f>Valores!$C$56</f>
        <v>-1270.1600000000001</v>
      </c>
      <c r="AM181" s="113">
        <f>IF($F$5=0,Valores!$C$57,(Valores!$C$57+$F$5*(Valores!$C$57)))</f>
        <v>-7026</v>
      </c>
      <c r="AN181" s="113">
        <f t="shared" si="28"/>
        <v>855782.72435000003</v>
      </c>
      <c r="AO181" s="113">
        <f t="shared" si="22"/>
        <v>-104701.26370000001</v>
      </c>
      <c r="AP181" s="113">
        <f t="shared" si="29"/>
        <v>-28554.890100000001</v>
      </c>
      <c r="AQ181" s="113">
        <f>AE181*Valores!$C$43</f>
        <v>-25699.401089999999</v>
      </c>
      <c r="AR181" s="113">
        <f>AE181*Valores!$C$44</f>
        <v>-2855.4890100000002</v>
      </c>
      <c r="AS181" s="113">
        <f t="shared" si="24"/>
        <v>887874.62609999999</v>
      </c>
      <c r="AT181" s="113">
        <f>AE181*Valores!$C$46</f>
        <v>152292.74720000001</v>
      </c>
      <c r="AU181" s="113">
        <f>AE181*Valores!$C$47</f>
        <v>66628.076900000015</v>
      </c>
      <c r="AV181" s="113">
        <f>AE181*Valores!$C$48</f>
        <v>9518.2967000000008</v>
      </c>
      <c r="AW181" s="113">
        <f>AE181*Valores!$C$50</f>
        <v>33314.038450000007</v>
      </c>
      <c r="AX181" s="113">
        <f>AE181*Valores!$C$52</f>
        <v>51398.802179999999</v>
      </c>
      <c r="AY181" s="113">
        <f>AE181*Valores!$C$51</f>
        <v>5710.9780200000005</v>
      </c>
      <c r="AZ181" s="114"/>
      <c r="BA181" s="114">
        <v>45</v>
      </c>
      <c r="BB181" s="111" t="s">
        <v>4</v>
      </c>
    </row>
    <row r="182" spans="1:54" s="100" customFormat="1" ht="11.25" customHeight="1" x14ac:dyDescent="0.15">
      <c r="A182" s="111" t="s">
        <v>414</v>
      </c>
      <c r="B182" s="111">
        <v>1</v>
      </c>
      <c r="C182" s="114">
        <v>175</v>
      </c>
      <c r="D182" s="112" t="s">
        <v>415</v>
      </c>
      <c r="E182" s="169">
        <v>1278</v>
      </c>
      <c r="F182" s="113">
        <f>ROUND(E182*Valores!$C$2,2)</f>
        <v>124996.07</v>
      </c>
      <c r="G182" s="169">
        <v>0</v>
      </c>
      <c r="H182" s="113">
        <f>ROUND(G182*Valores!$C$2,2)</f>
        <v>0</v>
      </c>
      <c r="I182" s="169">
        <v>0</v>
      </c>
      <c r="J182" s="113">
        <f>ROUND(I182*Valores!$C$2,2)</f>
        <v>0</v>
      </c>
      <c r="K182" s="169">
        <v>1200</v>
      </c>
      <c r="L182" s="113">
        <f>ROUND(K182*Valores!$C$2,2)</f>
        <v>117367.2</v>
      </c>
      <c r="M182" s="113">
        <f>ROUND(IF($H$2=0,IF(AND(A182&lt;&gt;"13-930",A182&lt;&gt;"13-940"),(SUM(F182,H182,J182,L182,W182,S182,Q182)*Valores!$C$4),0),0),2)</f>
        <v>85287.45</v>
      </c>
      <c r="N182" s="113">
        <f t="shared" si="25"/>
        <v>0</v>
      </c>
      <c r="O182" s="113">
        <f>Valores!C$87</f>
        <v>270128.75</v>
      </c>
      <c r="P182" s="113">
        <f>Valores!$D$5</f>
        <v>49998.43</v>
      </c>
      <c r="Q182" s="113">
        <f>IF($F$4="NO",Valores!$C$26,Valores!$C$26/2)</f>
        <v>52265.18</v>
      </c>
      <c r="R182" s="113">
        <f>Valores!$C$8</f>
        <v>46521.33</v>
      </c>
      <c r="S182" s="113">
        <f t="shared" si="30"/>
        <v>46521.33</v>
      </c>
      <c r="T182" s="113">
        <v>0</v>
      </c>
      <c r="U182" s="113">
        <v>0</v>
      </c>
      <c r="V182" s="169">
        <v>0</v>
      </c>
      <c r="W182" s="113">
        <f>ROUND(V182*Valores!$C$2,2)</f>
        <v>0</v>
      </c>
      <c r="X182" s="113">
        <v>0</v>
      </c>
      <c r="Y182" s="188">
        <v>0</v>
      </c>
      <c r="Z182" s="113">
        <f t="shared" si="26"/>
        <v>0</v>
      </c>
      <c r="AA182" s="169">
        <v>0</v>
      </c>
      <c r="AB182" s="113">
        <f>ROUND(AA182*Valores!$C$2,2)</f>
        <v>0</v>
      </c>
      <c r="AC182" s="113">
        <f>ROUND(IF($F$4="NO",Valores!$C$32,Valores!$C$32/2),2)</f>
        <v>23377.77</v>
      </c>
      <c r="AD182" s="113">
        <f>SUM(F182,H182,J182,L182,M182,N182,O182,P182,Q182,S182,T182,U182,W182,X182,Z182,AB182,AC182)*Valores!$C$58</f>
        <v>76994.218000000008</v>
      </c>
      <c r="AE182" s="113">
        <f t="shared" si="27"/>
        <v>846936.39800000004</v>
      </c>
      <c r="AF182" s="113">
        <f>Valores!$C$12</f>
        <v>72856</v>
      </c>
      <c r="AG182" s="113">
        <f>Valores!$C$59</f>
        <v>25000</v>
      </c>
      <c r="AH182" s="113">
        <f t="shared" si="23"/>
        <v>97856</v>
      </c>
      <c r="AI182" s="113">
        <f>AE182*Valores!$C$39</f>
        <v>-93163.003779999999</v>
      </c>
      <c r="AJ182" s="113">
        <f>IF(AE182&lt;Valores!$E$40,-0.02,IF(AE182&lt;Valores!$F$40,-0.03,-0.04))*AE182</f>
        <v>-25408.091940000002</v>
      </c>
      <c r="AK182" s="113">
        <f>AE182*Valores!$C$42</f>
        <v>-46581.50189</v>
      </c>
      <c r="AL182" s="113">
        <f>Valores!$C$56</f>
        <v>-1270.1600000000001</v>
      </c>
      <c r="AM182" s="113">
        <f>IF($F$5=0,Valores!$C$57,(Valores!$C$57+$F$5*(Valores!$C$57)))</f>
        <v>-7026</v>
      </c>
      <c r="AN182" s="113">
        <f t="shared" si="28"/>
        <v>771343.64039000007</v>
      </c>
      <c r="AO182" s="113">
        <f t="shared" si="22"/>
        <v>-93163.003779999999</v>
      </c>
      <c r="AP182" s="113">
        <f t="shared" si="29"/>
        <v>-25408.091940000002</v>
      </c>
      <c r="AQ182" s="113">
        <f>AE182*Valores!$C$43</f>
        <v>-22867.282746000001</v>
      </c>
      <c r="AR182" s="113">
        <f>AE182*Valores!$C$44</f>
        <v>-2540.8091940000004</v>
      </c>
      <c r="AS182" s="113">
        <f t="shared" si="24"/>
        <v>800813.21033999999</v>
      </c>
      <c r="AT182" s="113">
        <f>AE182*Valores!$C$46</f>
        <v>135509.82368</v>
      </c>
      <c r="AU182" s="113">
        <f>AE182*Valores!$C$47</f>
        <v>59285.547860000006</v>
      </c>
      <c r="AV182" s="113">
        <f>AE182*Valores!$C$48</f>
        <v>8469.3639800000001</v>
      </c>
      <c r="AW182" s="113">
        <f>AE182*Valores!$C$50</f>
        <v>29642.773930000003</v>
      </c>
      <c r="AX182" s="113">
        <f>AE182*Valores!$C$52</f>
        <v>45734.565492000002</v>
      </c>
      <c r="AY182" s="113">
        <f>AE182*Valores!$C$51</f>
        <v>5081.6183880000008</v>
      </c>
      <c r="AZ182" s="114"/>
      <c r="BA182" s="114"/>
      <c r="BB182" s="111" t="s">
        <v>4</v>
      </c>
    </row>
    <row r="183" spans="1:54" s="100" customFormat="1" ht="11.25" customHeight="1" x14ac:dyDescent="0.15">
      <c r="A183" s="111" t="s">
        <v>416</v>
      </c>
      <c r="B183" s="111">
        <v>1</v>
      </c>
      <c r="C183" s="114">
        <v>176</v>
      </c>
      <c r="D183" s="112" t="s">
        <v>417</v>
      </c>
      <c r="E183" s="169">
        <v>971</v>
      </c>
      <c r="F183" s="113">
        <f>ROUND(E183*Valores!$C$2,2)</f>
        <v>94969.63</v>
      </c>
      <c r="G183" s="169">
        <v>0</v>
      </c>
      <c r="H183" s="113">
        <f>ROUND(G183*Valores!$C$2,2)</f>
        <v>0</v>
      </c>
      <c r="I183" s="169">
        <v>0</v>
      </c>
      <c r="J183" s="113">
        <f>ROUND(I183*Valores!$C$2,2)</f>
        <v>0</v>
      </c>
      <c r="K183" s="169">
        <v>660</v>
      </c>
      <c r="L183" s="113">
        <f>ROUND(K183*Valores!$C$2,2)</f>
        <v>64551.96</v>
      </c>
      <c r="M183" s="113">
        <f>ROUND(IF($H$2=0,IF(AND(A183&lt;&gt;"13-930",A183&lt;&gt;"13-940"),(SUM(F183,H183,J183,L183,W183,S183,Q183)*Valores!$C$4),0),0),2)</f>
        <v>64577.03</v>
      </c>
      <c r="N183" s="113">
        <f t="shared" si="25"/>
        <v>0</v>
      </c>
      <c r="O183" s="113">
        <f>Valores!C$86</f>
        <v>267039.21000000002</v>
      </c>
      <c r="P183" s="113">
        <f>Valores!$D$5</f>
        <v>49998.43</v>
      </c>
      <c r="Q183" s="113">
        <f>IF($F$4="NO",Valores!$C$26,Valores!$C$26/2)</f>
        <v>52265.18</v>
      </c>
      <c r="R183" s="113">
        <f>Valores!$C$8</f>
        <v>46521.33</v>
      </c>
      <c r="S183" s="113">
        <f t="shared" si="30"/>
        <v>46521.33</v>
      </c>
      <c r="T183" s="113">
        <v>0</v>
      </c>
      <c r="U183" s="113">
        <v>0</v>
      </c>
      <c r="V183" s="169">
        <v>0</v>
      </c>
      <c r="W183" s="113">
        <f>ROUND(V183*Valores!$C$2,2)</f>
        <v>0</v>
      </c>
      <c r="X183" s="113">
        <v>0</v>
      </c>
      <c r="Y183" s="188">
        <v>0</v>
      </c>
      <c r="Z183" s="113">
        <f t="shared" si="26"/>
        <v>0</v>
      </c>
      <c r="AA183" s="169">
        <v>0</v>
      </c>
      <c r="AB183" s="113">
        <f>ROUND(AA183*Valores!$C$2,2)</f>
        <v>0</v>
      </c>
      <c r="AC183" s="113">
        <f>ROUND(IF($F$4="NO",Valores!$C$32,Valores!$C$32/2),2)</f>
        <v>23377.77</v>
      </c>
      <c r="AD183" s="113">
        <f>SUM(F183,H183,J183,L183,M183,N183,O183,P183,Q183,S183,T183,U183,W183,X183,Z183,AB183,AC183)*Valores!$C$58</f>
        <v>66330.054000000004</v>
      </c>
      <c r="AE183" s="113">
        <f t="shared" si="27"/>
        <v>729630.59400000004</v>
      </c>
      <c r="AF183" s="113">
        <f>Valores!$C$11</f>
        <v>36428</v>
      </c>
      <c r="AG183" s="113">
        <f>Valores!$C$59</f>
        <v>25000</v>
      </c>
      <c r="AH183" s="113">
        <f t="shared" si="23"/>
        <v>61428</v>
      </c>
      <c r="AI183" s="113">
        <f>AE183*Valores!$C$39</f>
        <v>-80259.365340000004</v>
      </c>
      <c r="AJ183" s="113">
        <f>IF(AE183&lt;Valores!$E$40,-0.02,IF(AE183&lt;Valores!$F$40,-0.03,-0.04))*AE183</f>
        <v>-14592.61188</v>
      </c>
      <c r="AK183" s="113">
        <f>AE183*Valores!$C$42</f>
        <v>-40129.682670000002</v>
      </c>
      <c r="AL183" s="113">
        <f>Valores!$C$56</f>
        <v>-1270.1600000000001</v>
      </c>
      <c r="AM183" s="113">
        <f>IF($F$5=0,Valores!$C$57,(Valores!$C$57+$F$5*(Valores!$C$57)))</f>
        <v>-7026</v>
      </c>
      <c r="AN183" s="113">
        <f t="shared" si="28"/>
        <v>647780.77411</v>
      </c>
      <c r="AO183" s="113">
        <f t="shared" si="22"/>
        <v>-80259.365340000004</v>
      </c>
      <c r="AP183" s="113">
        <f t="shared" si="29"/>
        <v>-14592.61188</v>
      </c>
      <c r="AQ183" s="113">
        <f>AE183*Valores!$C$43</f>
        <v>-19700.026038</v>
      </c>
      <c r="AR183" s="113">
        <f>AE183*Valores!$C$44</f>
        <v>-2188.8917820000001</v>
      </c>
      <c r="AS183" s="113">
        <f t="shared" si="24"/>
        <v>674317.69896000007</v>
      </c>
      <c r="AT183" s="113">
        <f>AE183*Valores!$C$46</f>
        <v>116740.89504</v>
      </c>
      <c r="AU183" s="113">
        <f>AE183*Valores!$C$47</f>
        <v>51074.14158000001</v>
      </c>
      <c r="AV183" s="113">
        <f>AE183*Valores!$C$48</f>
        <v>7296.3059400000002</v>
      </c>
      <c r="AW183" s="113">
        <f>AE183*Valores!$C$50</f>
        <v>25537.070790000005</v>
      </c>
      <c r="AX183" s="113">
        <f>AE183*Valores!$C$52</f>
        <v>39400.052076</v>
      </c>
      <c r="AY183" s="113">
        <f>AE183*Valores!$C$51</f>
        <v>4377.7835640000003</v>
      </c>
      <c r="AZ183" s="114"/>
      <c r="BA183" s="114">
        <v>18</v>
      </c>
      <c r="BB183" s="111" t="s">
        <v>4</v>
      </c>
    </row>
    <row r="184" spans="1:54" s="100" customFormat="1" ht="11.25" customHeight="1" x14ac:dyDescent="0.15">
      <c r="A184" s="111" t="s">
        <v>418</v>
      </c>
      <c r="B184" s="111">
        <v>1</v>
      </c>
      <c r="C184" s="114">
        <v>177</v>
      </c>
      <c r="D184" s="112" t="s">
        <v>419</v>
      </c>
      <c r="E184" s="169">
        <v>179</v>
      </c>
      <c r="F184" s="113">
        <f>ROUND(E184*Valores!$C$2,2)</f>
        <v>17507.27</v>
      </c>
      <c r="G184" s="169">
        <f>1323</f>
        <v>1323</v>
      </c>
      <c r="H184" s="113">
        <f>ROUND(G184*Valores!$C$2,2)</f>
        <v>129397.34</v>
      </c>
      <c r="I184" s="169">
        <v>0</v>
      </c>
      <c r="J184" s="113">
        <f>ROUND(I184*Valores!$C$2,2)</f>
        <v>0</v>
      </c>
      <c r="K184" s="169">
        <v>1300</v>
      </c>
      <c r="L184" s="113">
        <f>ROUND(K184*Valores!$C$2,2)</f>
        <v>127147.8</v>
      </c>
      <c r="M184" s="113">
        <f>ROUND(IF($H$2=0,IF(AND(A184&lt;&gt;"13-930",A184&lt;&gt;"13-940"),(SUM(F184,H184,J184,L184,W184,S184,Q184)*Valores!$C$4),0),0),2)</f>
        <v>93209.73</v>
      </c>
      <c r="N184" s="113">
        <f t="shared" si="25"/>
        <v>0</v>
      </c>
      <c r="O184" s="113">
        <f>Valores!C$89</f>
        <v>308514.28999999998</v>
      </c>
      <c r="P184" s="113">
        <f>Valores!$D$5</f>
        <v>49998.43</v>
      </c>
      <c r="Q184" s="113">
        <f>IF($F$4="NO",Valores!$C$26,Valores!$C$26/2)</f>
        <v>52265.18</v>
      </c>
      <c r="R184" s="113">
        <f>Valores!$C$8</f>
        <v>46521.33</v>
      </c>
      <c r="S184" s="113">
        <f t="shared" si="30"/>
        <v>46521.33</v>
      </c>
      <c r="T184" s="113">
        <v>0</v>
      </c>
      <c r="U184" s="113">
        <v>0</v>
      </c>
      <c r="V184" s="169">
        <v>0</v>
      </c>
      <c r="W184" s="113">
        <f>ROUND(V184*Valores!$C$2,2)</f>
        <v>0</v>
      </c>
      <c r="X184" s="113">
        <v>0</v>
      </c>
      <c r="Y184" s="188">
        <v>0</v>
      </c>
      <c r="Z184" s="113">
        <f t="shared" si="26"/>
        <v>0</v>
      </c>
      <c r="AA184" s="169">
        <v>0</v>
      </c>
      <c r="AB184" s="113">
        <f>ROUND(AA184*Valores!$C$2,2)</f>
        <v>0</v>
      </c>
      <c r="AC184" s="113">
        <f>ROUND(IF($F$4="NO",Valores!$C$32,Valores!$C$32/2),2)</f>
        <v>23377.77</v>
      </c>
      <c r="AD184" s="113">
        <f>SUM(F184,H184,J184,L184,M184,N184,O184,P184,Q184,S184,T184,U184,W184,X184,Z184,AB184,AC184)*Valores!$C$58</f>
        <v>84793.914000000004</v>
      </c>
      <c r="AE184" s="113">
        <f t="shared" si="27"/>
        <v>932733.054</v>
      </c>
      <c r="AF184" s="113">
        <f>Valores!$C$12</f>
        <v>72856</v>
      </c>
      <c r="AG184" s="113">
        <f>Valores!$C$59</f>
        <v>25000</v>
      </c>
      <c r="AH184" s="113">
        <f t="shared" si="23"/>
        <v>97856</v>
      </c>
      <c r="AI184" s="113">
        <f>AE184*Valores!$C$39</f>
        <v>-102600.63594000001</v>
      </c>
      <c r="AJ184" s="113">
        <f>IF(AE184&lt;Valores!$E$40,-0.02,IF(AE184&lt;Valores!$F$40,-0.03,-0.04))*AE184</f>
        <v>-27981.991620000001</v>
      </c>
      <c r="AK184" s="113">
        <f>AE184*Valores!$C$42</f>
        <v>-51300.317970000004</v>
      </c>
      <c r="AL184" s="113">
        <f>Valores!$C$56</f>
        <v>-1270.1600000000001</v>
      </c>
      <c r="AM184" s="113">
        <f>IF($F$5=0,Valores!$C$57,(Valores!$C$57+$F$5*(Valores!$C$57)))</f>
        <v>-7026</v>
      </c>
      <c r="AN184" s="113">
        <f t="shared" si="28"/>
        <v>840409.94846999994</v>
      </c>
      <c r="AO184" s="113">
        <f t="shared" si="22"/>
        <v>-102600.63594000001</v>
      </c>
      <c r="AP184" s="113">
        <f t="shared" si="29"/>
        <v>-27981.991620000001</v>
      </c>
      <c r="AQ184" s="113">
        <f>AE184*Valores!$C$43</f>
        <v>-25183.792458</v>
      </c>
      <c r="AR184" s="113">
        <f>AE184*Valores!$C$44</f>
        <v>-2798.1991619999999</v>
      </c>
      <c r="AS184" s="113">
        <f t="shared" si="24"/>
        <v>872024.43481999997</v>
      </c>
      <c r="AT184" s="113">
        <f>AE184*Valores!$C$46</f>
        <v>149237.28864000001</v>
      </c>
      <c r="AU184" s="113">
        <f>AE184*Valores!$C$47</f>
        <v>65291.313780000004</v>
      </c>
      <c r="AV184" s="113">
        <f>AE184*Valores!$C$48</f>
        <v>9327.3305400000008</v>
      </c>
      <c r="AW184" s="113">
        <f>AE184*Valores!$C$50</f>
        <v>32645.656890000002</v>
      </c>
      <c r="AX184" s="113">
        <f>AE184*Valores!$C$52</f>
        <v>50367.584916</v>
      </c>
      <c r="AY184" s="113">
        <f>AE184*Valores!$C$51</f>
        <v>5596.3983239999998</v>
      </c>
      <c r="AZ184" s="114"/>
      <c r="BA184" s="114">
        <v>45</v>
      </c>
      <c r="BB184" s="111" t="s">
        <v>4</v>
      </c>
    </row>
    <row r="185" spans="1:54" s="100" customFormat="1" ht="11.25" customHeight="1" x14ac:dyDescent="0.15">
      <c r="A185" s="111" t="s">
        <v>420</v>
      </c>
      <c r="B185" s="111">
        <v>1</v>
      </c>
      <c r="C185" s="114">
        <v>178</v>
      </c>
      <c r="D185" s="112" t="s">
        <v>421</v>
      </c>
      <c r="E185" s="169">
        <v>64</v>
      </c>
      <c r="F185" s="113">
        <f>ROUND(E185*Valores!$C$2,2)</f>
        <v>6259.58</v>
      </c>
      <c r="G185" s="169">
        <v>1354</v>
      </c>
      <c r="H185" s="113">
        <f>ROUND(G185*Valores!$C$2,2)</f>
        <v>132429.32</v>
      </c>
      <c r="I185" s="169">
        <v>0</v>
      </c>
      <c r="J185" s="113">
        <f>ROUND(I185*Valores!$C$2,2)</f>
        <v>0</v>
      </c>
      <c r="K185" s="169">
        <v>1200</v>
      </c>
      <c r="L185" s="113">
        <f>ROUND(K185*Valores!$C$2,2)</f>
        <v>117367.2</v>
      </c>
      <c r="M185" s="113">
        <f>ROUND(IF($H$2=0,IF(AND(A185&lt;&gt;"13-930",A185&lt;&gt;"13-940"),(SUM(F185,H185,J185,L185,W185,S185,Q185)*Valores!$C$4),0),0),2)</f>
        <v>88591.74</v>
      </c>
      <c r="N185" s="113">
        <f t="shared" si="25"/>
        <v>0</v>
      </c>
      <c r="O185" s="113">
        <f>Valores!C$80</f>
        <v>238402.15</v>
      </c>
      <c r="P185" s="113">
        <f>Valores!$D$5</f>
        <v>49998.43</v>
      </c>
      <c r="Q185" s="113">
        <f>IF($F$4="NO",Valores!$C$26,Valores!$C$26/2)</f>
        <v>52265.18</v>
      </c>
      <c r="R185" s="113">
        <f>Valores!$C$9</f>
        <v>46045.69</v>
      </c>
      <c r="S185" s="113">
        <f t="shared" si="30"/>
        <v>46045.69</v>
      </c>
      <c r="T185" s="113">
        <v>0</v>
      </c>
      <c r="U185" s="113">
        <v>0</v>
      </c>
      <c r="V185" s="169">
        <v>0</v>
      </c>
      <c r="W185" s="113">
        <f>ROUND(V185*Valores!$C$2,2)</f>
        <v>0</v>
      </c>
      <c r="X185" s="113">
        <v>0</v>
      </c>
      <c r="Y185" s="188">
        <v>0</v>
      </c>
      <c r="Z185" s="113">
        <f t="shared" si="26"/>
        <v>0</v>
      </c>
      <c r="AA185" s="169">
        <v>0</v>
      </c>
      <c r="AB185" s="113">
        <f>ROUND(AA185*Valores!$C$2,2)</f>
        <v>0</v>
      </c>
      <c r="AC185" s="113">
        <f>ROUND(IF($F$4="NO",Valores!$C$32,Valores!$C$32/2),2)</f>
        <v>23377.77</v>
      </c>
      <c r="AD185" s="113">
        <f>SUM(F185,H185,J185,L185,M185,N185,O185,P185,Q185,S185,T185,U185,W185,X185,Z185,AB185,AC185)*Valores!$C$58</f>
        <v>75473.706000000006</v>
      </c>
      <c r="AE185" s="113">
        <f t="shared" si="27"/>
        <v>830210.76600000006</v>
      </c>
      <c r="AF185" s="113">
        <f>Valores!$C$11</f>
        <v>36428</v>
      </c>
      <c r="AG185" s="113">
        <f>Valores!$C$59</f>
        <v>25000</v>
      </c>
      <c r="AH185" s="113">
        <f t="shared" si="23"/>
        <v>61428</v>
      </c>
      <c r="AI185" s="113">
        <f>AE185*Valores!$C$39</f>
        <v>-91323.184260000009</v>
      </c>
      <c r="AJ185" s="113">
        <f>IF(AE185&lt;Valores!$E$40,-0.02,IF(AE185&lt;Valores!$F$40,-0.03,-0.04))*AE185</f>
        <v>-24906.322980000001</v>
      </c>
      <c r="AK185" s="113">
        <f>AE185*Valores!$C$42</f>
        <v>-45661.592130000005</v>
      </c>
      <c r="AL185" s="113">
        <f>Valores!$C$56</f>
        <v>-1270.1600000000001</v>
      </c>
      <c r="AM185" s="113">
        <f>IF($F$5=0,Valores!$C$57,(Valores!$C$57+$F$5*(Valores!$C$57)))</f>
        <v>-7026</v>
      </c>
      <c r="AN185" s="113">
        <f t="shared" si="28"/>
        <v>721451.50663000008</v>
      </c>
      <c r="AO185" s="113">
        <f t="shared" si="22"/>
        <v>-91323.184260000009</v>
      </c>
      <c r="AP185" s="113">
        <f t="shared" si="29"/>
        <v>-24906.322980000001</v>
      </c>
      <c r="AQ185" s="113">
        <f>AE185*Valores!$C$43</f>
        <v>-22415.690682</v>
      </c>
      <c r="AR185" s="113">
        <f>AE185*Valores!$C$44</f>
        <v>-2490.6322980000004</v>
      </c>
      <c r="AS185" s="113">
        <f t="shared" si="24"/>
        <v>750502.93578000006</v>
      </c>
      <c r="AT185" s="113">
        <f>AE185*Valores!$C$46</f>
        <v>132833.72256000002</v>
      </c>
      <c r="AU185" s="113">
        <f>AE185*Valores!$C$47</f>
        <v>58114.75362000001</v>
      </c>
      <c r="AV185" s="113">
        <f>AE185*Valores!$C$48</f>
        <v>8302.1076600000015</v>
      </c>
      <c r="AW185" s="113">
        <f>AE185*Valores!$C$50</f>
        <v>29057.376810000005</v>
      </c>
      <c r="AX185" s="113">
        <f>AE185*Valores!$C$52</f>
        <v>44831.381364000001</v>
      </c>
      <c r="AY185" s="113">
        <f>AE185*Valores!$C$51</f>
        <v>4981.2645960000009</v>
      </c>
      <c r="AZ185" s="114"/>
      <c r="BA185" s="114">
        <v>30</v>
      </c>
      <c r="BB185" s="111" t="s">
        <v>8</v>
      </c>
    </row>
    <row r="186" spans="1:54" s="100" customFormat="1" ht="11.25" customHeight="1" x14ac:dyDescent="0.15">
      <c r="A186" s="111" t="s">
        <v>422</v>
      </c>
      <c r="B186" s="111">
        <v>1</v>
      </c>
      <c r="C186" s="114">
        <v>179</v>
      </c>
      <c r="D186" s="112" t="s">
        <v>423</v>
      </c>
      <c r="E186" s="169">
        <v>55</v>
      </c>
      <c r="F186" s="113">
        <f>ROUND(E186*Valores!$C$2,2)</f>
        <v>5379.33</v>
      </c>
      <c r="G186" s="169">
        <v>1279</v>
      </c>
      <c r="H186" s="113">
        <f>ROUND(G186*Valores!$C$2,2)</f>
        <v>125093.87</v>
      </c>
      <c r="I186" s="169">
        <v>0</v>
      </c>
      <c r="J186" s="113">
        <f>ROUND(I186*Valores!$C$2,2)</f>
        <v>0</v>
      </c>
      <c r="K186" s="169">
        <v>1200</v>
      </c>
      <c r="L186" s="113">
        <f>ROUND(K186*Valores!$C$2,2)</f>
        <v>117367.2</v>
      </c>
      <c r="M186" s="113">
        <f>ROUND(IF($H$2=0,IF(AND(A186&lt;&gt;"13-930",A186&lt;&gt;"13-940"),(SUM(F186,H186,J186,L186,W186,S186,Q186)*Valores!$C$4),0),0),2)</f>
        <v>86656.73</v>
      </c>
      <c r="N186" s="113">
        <f t="shared" si="25"/>
        <v>0</v>
      </c>
      <c r="O186" s="113">
        <f>Valores!C$79</f>
        <v>225525.04</v>
      </c>
      <c r="P186" s="113">
        <f>Valores!$D$5</f>
        <v>49998.43</v>
      </c>
      <c r="Q186" s="113">
        <f>IF($F$4="NO",Valores!$C$26,Valores!$C$26/2)</f>
        <v>52265.18</v>
      </c>
      <c r="R186" s="113">
        <f>Valores!$C$8</f>
        <v>46521.33</v>
      </c>
      <c r="S186" s="113">
        <f t="shared" si="30"/>
        <v>46521.33</v>
      </c>
      <c r="T186" s="113">
        <v>0</v>
      </c>
      <c r="U186" s="113">
        <v>0</v>
      </c>
      <c r="V186" s="169">
        <v>0</v>
      </c>
      <c r="W186" s="113">
        <f>ROUND(V186*Valores!$C$2,2)</f>
        <v>0</v>
      </c>
      <c r="X186" s="113">
        <v>0</v>
      </c>
      <c r="Y186" s="188">
        <v>0</v>
      </c>
      <c r="Z186" s="113">
        <f t="shared" si="26"/>
        <v>0</v>
      </c>
      <c r="AA186" s="169">
        <v>0</v>
      </c>
      <c r="AB186" s="113">
        <f>ROUND(AA186*Valores!$C$2,2)</f>
        <v>0</v>
      </c>
      <c r="AC186" s="113">
        <f>ROUND(IF($F$4="NO",Valores!$C$32,Valores!$C$32/2),2)</f>
        <v>23377.77</v>
      </c>
      <c r="AD186" s="113">
        <f>SUM(F186,H186,J186,L186,M186,N186,O186,P186,Q186,S186,T186,U186,W186,X186,Z186,AB186,AC186)*Valores!$C$58</f>
        <v>73218.488000000012</v>
      </c>
      <c r="AE186" s="113">
        <f t="shared" si="27"/>
        <v>805403.36800000013</v>
      </c>
      <c r="AF186" s="113">
        <f>Valores!$C$11</f>
        <v>36428</v>
      </c>
      <c r="AG186" s="113">
        <f>Valores!$C$59</f>
        <v>25000</v>
      </c>
      <c r="AH186" s="113">
        <f t="shared" si="23"/>
        <v>61428</v>
      </c>
      <c r="AI186" s="113">
        <f>AE186*Valores!$C$39</f>
        <v>-88594.370480000012</v>
      </c>
      <c r="AJ186" s="113">
        <f>IF(AE186&lt;Valores!$E$40,-0.02,IF(AE186&lt;Valores!$F$40,-0.03,-0.04))*AE186</f>
        <v>-24162.101040000001</v>
      </c>
      <c r="AK186" s="113">
        <f>AE186*Valores!$C$42</f>
        <v>-44297.185240000006</v>
      </c>
      <c r="AL186" s="113">
        <f>Valores!$C$56</f>
        <v>-1270.1600000000001</v>
      </c>
      <c r="AM186" s="113">
        <f>IF($F$5=0,Valores!$C$57,(Valores!$C$57+$F$5*(Valores!$C$57)))</f>
        <v>-7026</v>
      </c>
      <c r="AN186" s="113">
        <f t="shared" si="28"/>
        <v>701481.55124000018</v>
      </c>
      <c r="AO186" s="113">
        <f t="shared" si="22"/>
        <v>-88594.370480000012</v>
      </c>
      <c r="AP186" s="113">
        <f t="shared" si="29"/>
        <v>-24162.101040000001</v>
      </c>
      <c r="AQ186" s="113">
        <f>AE186*Valores!$C$43</f>
        <v>-21745.890936000003</v>
      </c>
      <c r="AR186" s="113">
        <f>AE186*Valores!$C$44</f>
        <v>-2416.2101040000002</v>
      </c>
      <c r="AS186" s="113">
        <f t="shared" si="24"/>
        <v>729912.79544000013</v>
      </c>
      <c r="AT186" s="113">
        <f>AE186*Valores!$C$46</f>
        <v>128864.53888000002</v>
      </c>
      <c r="AU186" s="113">
        <f>AE186*Valores!$C$47</f>
        <v>56378.235760000018</v>
      </c>
      <c r="AV186" s="113">
        <f>AE186*Valores!$C$48</f>
        <v>8054.0336800000014</v>
      </c>
      <c r="AW186" s="113">
        <f>AE186*Valores!$C$50</f>
        <v>28189.117880000009</v>
      </c>
      <c r="AX186" s="113">
        <f>AE186*Valores!$C$52</f>
        <v>43491.781872000007</v>
      </c>
      <c r="AY186" s="113">
        <f>AE186*Valores!$C$51</f>
        <v>4832.4202080000005</v>
      </c>
      <c r="AZ186" s="114"/>
      <c r="BA186" s="114">
        <v>30</v>
      </c>
      <c r="BB186" s="111" t="s">
        <v>8</v>
      </c>
    </row>
    <row r="187" spans="1:54" s="100" customFormat="1" ht="11.25" customHeight="1" x14ac:dyDescent="0.15">
      <c r="A187" s="111" t="s">
        <v>424</v>
      </c>
      <c r="B187" s="111">
        <v>1</v>
      </c>
      <c r="C187" s="114">
        <v>180</v>
      </c>
      <c r="D187" s="112" t="s">
        <v>425</v>
      </c>
      <c r="E187" s="169">
        <v>1027</v>
      </c>
      <c r="F187" s="113">
        <f>ROUND(E187*Valores!$C$2,2)</f>
        <v>100446.76</v>
      </c>
      <c r="G187" s="169">
        <v>0</v>
      </c>
      <c r="H187" s="113">
        <f>ROUND(G187*Valores!$C$2,2)</f>
        <v>0</v>
      </c>
      <c r="I187" s="169">
        <v>0</v>
      </c>
      <c r="J187" s="113">
        <f>ROUND(I187*Valores!$C$2,2)</f>
        <v>0</v>
      </c>
      <c r="K187" s="169">
        <v>1200</v>
      </c>
      <c r="L187" s="113">
        <f>ROUND(K187*Valores!$C$2,2)</f>
        <v>117367.2</v>
      </c>
      <c r="M187" s="113">
        <f>ROUND(IF($H$2=0,IF(AND(A187&lt;&gt;"13-930",A187&lt;&gt;"13-940"),(SUM(F187,H187,J187,L187,W187,S187,Q187)*Valores!$C$4),0),0),2)</f>
        <v>79031.210000000006</v>
      </c>
      <c r="N187" s="113">
        <f t="shared" si="25"/>
        <v>0</v>
      </c>
      <c r="O187" s="113">
        <f>Valores!C$79</f>
        <v>225525.04</v>
      </c>
      <c r="P187" s="113">
        <f>Valores!$D$5</f>
        <v>49998.43</v>
      </c>
      <c r="Q187" s="113">
        <f>IF($F$4="NO",Valores!$C$26,Valores!$C$26/2)</f>
        <v>52265.18</v>
      </c>
      <c r="R187" s="113">
        <f>Valores!$C$9</f>
        <v>46045.69</v>
      </c>
      <c r="S187" s="113">
        <f t="shared" si="30"/>
        <v>46045.69</v>
      </c>
      <c r="T187" s="113">
        <v>0</v>
      </c>
      <c r="U187" s="113">
        <v>0</v>
      </c>
      <c r="V187" s="169">
        <v>0</v>
      </c>
      <c r="W187" s="113">
        <f>ROUND(V187*Valores!$C$2,2)</f>
        <v>0</v>
      </c>
      <c r="X187" s="113">
        <v>0</v>
      </c>
      <c r="Y187" s="188">
        <v>0</v>
      </c>
      <c r="Z187" s="113">
        <f t="shared" si="26"/>
        <v>0</v>
      </c>
      <c r="AA187" s="169">
        <v>0</v>
      </c>
      <c r="AB187" s="113">
        <f>ROUND(AA187*Valores!$C$2,2)</f>
        <v>0</v>
      </c>
      <c r="AC187" s="113">
        <f>ROUND(IF($F$4="NO",Valores!$C$32,Valores!$C$32/2),2)</f>
        <v>23377.77</v>
      </c>
      <c r="AD187" s="113">
        <f>SUM(F187,H187,J187,L187,M187,N187,O187,P187,Q187,S187,T187,U187,W187,X187,Z187,AB187,AC187)*Valores!$C$58</f>
        <v>69405.728000000003</v>
      </c>
      <c r="AE187" s="113">
        <f t="shared" si="27"/>
        <v>763463.00800000003</v>
      </c>
      <c r="AF187" s="113">
        <f>Valores!$C$11</f>
        <v>36428</v>
      </c>
      <c r="AG187" s="113">
        <f>Valores!$C$59</f>
        <v>25000</v>
      </c>
      <c r="AH187" s="113">
        <f t="shared" si="23"/>
        <v>61428</v>
      </c>
      <c r="AI187" s="113">
        <f>AE187*Valores!$C$39</f>
        <v>-83980.93088</v>
      </c>
      <c r="AJ187" s="113">
        <f>IF(AE187&lt;Valores!$E$40,-0.02,IF(AE187&lt;Valores!$F$40,-0.03,-0.04))*AE187</f>
        <v>-22903.890240000001</v>
      </c>
      <c r="AK187" s="113">
        <f>AE187*Valores!$C$42</f>
        <v>-41990.46544</v>
      </c>
      <c r="AL187" s="113">
        <f>Valores!$C$56</f>
        <v>-1270.1600000000001</v>
      </c>
      <c r="AM187" s="113">
        <f>IF($F$5=0,Valores!$C$57,(Valores!$C$57+$F$5*(Valores!$C$57)))</f>
        <v>-7026</v>
      </c>
      <c r="AN187" s="113">
        <f t="shared" si="28"/>
        <v>667719.56144000008</v>
      </c>
      <c r="AO187" s="113">
        <f t="shared" si="22"/>
        <v>-83980.93088</v>
      </c>
      <c r="AP187" s="113">
        <f t="shared" si="29"/>
        <v>-22903.890240000001</v>
      </c>
      <c r="AQ187" s="113">
        <f>AE187*Valores!$C$43</f>
        <v>-20613.501216000001</v>
      </c>
      <c r="AR187" s="113">
        <f>AE187*Valores!$C$44</f>
        <v>-2290.3890240000001</v>
      </c>
      <c r="AS187" s="113">
        <f t="shared" si="24"/>
        <v>695102.29664000007</v>
      </c>
      <c r="AT187" s="113">
        <f>AE187*Valores!$C$46</f>
        <v>122154.08128000001</v>
      </c>
      <c r="AU187" s="113">
        <f>AE187*Valores!$C$47</f>
        <v>53442.410560000004</v>
      </c>
      <c r="AV187" s="113">
        <f>AE187*Valores!$C$48</f>
        <v>7634.6300800000008</v>
      </c>
      <c r="AW187" s="113">
        <f>AE187*Valores!$C$50</f>
        <v>26721.205280000002</v>
      </c>
      <c r="AX187" s="113">
        <f>AE187*Valores!$C$52</f>
        <v>41227.002432000001</v>
      </c>
      <c r="AY187" s="113">
        <f>AE187*Valores!$C$51</f>
        <v>4580.7780480000001</v>
      </c>
      <c r="AZ187" s="114"/>
      <c r="BA187" s="114">
        <v>30</v>
      </c>
      <c r="BB187" s="111" t="s">
        <v>8</v>
      </c>
    </row>
    <row r="188" spans="1:54" s="100" customFormat="1" ht="11.25" customHeight="1" x14ac:dyDescent="0.15">
      <c r="A188" s="111" t="s">
        <v>426</v>
      </c>
      <c r="B188" s="111">
        <v>1</v>
      </c>
      <c r="C188" s="114">
        <v>181</v>
      </c>
      <c r="D188" s="112" t="s">
        <v>427</v>
      </c>
      <c r="E188" s="169">
        <v>1278</v>
      </c>
      <c r="F188" s="113">
        <f>ROUND(E188*Valores!$C$2,2)</f>
        <v>124996.07</v>
      </c>
      <c r="G188" s="169">
        <v>0</v>
      </c>
      <c r="H188" s="113">
        <f>ROUND(G188*Valores!$C$2,2)</f>
        <v>0</v>
      </c>
      <c r="I188" s="169">
        <v>0</v>
      </c>
      <c r="J188" s="113">
        <f>ROUND(I188*Valores!$C$2,2)</f>
        <v>0</v>
      </c>
      <c r="K188" s="169">
        <v>1200</v>
      </c>
      <c r="L188" s="113">
        <f>ROUND(K188*Valores!$C$2,2)</f>
        <v>117367.2</v>
      </c>
      <c r="M188" s="113">
        <f>ROUND(IF($H$2=0,IF(AND(A188&lt;&gt;"13-930",A188&lt;&gt;"13-940"),(SUM(F188,H188,J188,L188,W188,S188,Q188)*Valores!$C$4),0),0),2)</f>
        <v>85287.45</v>
      </c>
      <c r="N188" s="113">
        <f t="shared" si="25"/>
        <v>0</v>
      </c>
      <c r="O188" s="113">
        <f>Valores!C$87</f>
        <v>270128.75</v>
      </c>
      <c r="P188" s="113">
        <f>Valores!$D$5</f>
        <v>49998.43</v>
      </c>
      <c r="Q188" s="113">
        <f>IF($F$4="NO",Valores!$C$26,Valores!$C$26/2)</f>
        <v>52265.18</v>
      </c>
      <c r="R188" s="113">
        <f>Valores!$C$8</f>
        <v>46521.33</v>
      </c>
      <c r="S188" s="113">
        <f t="shared" si="30"/>
        <v>46521.33</v>
      </c>
      <c r="T188" s="113">
        <v>0</v>
      </c>
      <c r="U188" s="113">
        <v>0</v>
      </c>
      <c r="V188" s="169">
        <v>0</v>
      </c>
      <c r="W188" s="113">
        <f>ROUND(V188*Valores!$C$2,2)</f>
        <v>0</v>
      </c>
      <c r="X188" s="113">
        <v>0</v>
      </c>
      <c r="Y188" s="188">
        <v>0</v>
      </c>
      <c r="Z188" s="113">
        <f t="shared" si="26"/>
        <v>0</v>
      </c>
      <c r="AA188" s="169">
        <v>0</v>
      </c>
      <c r="AB188" s="113">
        <f>ROUND(AA188*Valores!$C$2,2)</f>
        <v>0</v>
      </c>
      <c r="AC188" s="113">
        <f>ROUND(IF($F$4="NO",Valores!$C$32,Valores!$C$32/2),2)</f>
        <v>23377.77</v>
      </c>
      <c r="AD188" s="113">
        <f>SUM(F188,H188,J188,L188,M188,N188,O188,P188,Q188,S188,T188,U188,W188,X188,Z188,AB188,AC188)*Valores!$C$58</f>
        <v>76994.218000000008</v>
      </c>
      <c r="AE188" s="113">
        <f t="shared" si="27"/>
        <v>846936.39800000004</v>
      </c>
      <c r="AF188" s="113">
        <f>Valores!$C$12</f>
        <v>72856</v>
      </c>
      <c r="AG188" s="113">
        <f>Valores!$C$59</f>
        <v>25000</v>
      </c>
      <c r="AH188" s="113">
        <f t="shared" si="23"/>
        <v>97856</v>
      </c>
      <c r="AI188" s="113">
        <f>AE188*Valores!$C$39</f>
        <v>-93163.003779999999</v>
      </c>
      <c r="AJ188" s="113">
        <f>IF(AE188&lt;Valores!$E$40,-0.02,IF(AE188&lt;Valores!$F$40,-0.03,-0.04))*AE188</f>
        <v>-25408.091940000002</v>
      </c>
      <c r="AK188" s="113">
        <f>AE188*Valores!$C$42</f>
        <v>-46581.50189</v>
      </c>
      <c r="AL188" s="113">
        <f>Valores!$C$56</f>
        <v>-1270.1600000000001</v>
      </c>
      <c r="AM188" s="113">
        <f>IF($F$5=0,Valores!$C$57,(Valores!$C$57+$F$5*(Valores!$C$57)))</f>
        <v>-7026</v>
      </c>
      <c r="AN188" s="113">
        <f t="shared" si="28"/>
        <v>771343.64039000007</v>
      </c>
      <c r="AO188" s="113">
        <f t="shared" si="22"/>
        <v>-93163.003779999999</v>
      </c>
      <c r="AP188" s="113">
        <f t="shared" si="29"/>
        <v>-25408.091940000002</v>
      </c>
      <c r="AQ188" s="113">
        <f>AE188*Valores!$C$43</f>
        <v>-22867.282746000001</v>
      </c>
      <c r="AR188" s="113">
        <f>AE188*Valores!$C$44</f>
        <v>-2540.8091940000004</v>
      </c>
      <c r="AS188" s="113">
        <f t="shared" si="24"/>
        <v>800813.21033999999</v>
      </c>
      <c r="AT188" s="113">
        <f>AE188*Valores!$C$46</f>
        <v>135509.82368</v>
      </c>
      <c r="AU188" s="113">
        <f>AE188*Valores!$C$47</f>
        <v>59285.547860000006</v>
      </c>
      <c r="AV188" s="113">
        <f>AE188*Valores!$C$48</f>
        <v>8469.3639800000001</v>
      </c>
      <c r="AW188" s="113">
        <f>AE188*Valores!$C$50</f>
        <v>29642.773930000003</v>
      </c>
      <c r="AX188" s="113">
        <f>AE188*Valores!$C$52</f>
        <v>45734.565492000002</v>
      </c>
      <c r="AY188" s="113">
        <f>AE188*Valores!$C$51</f>
        <v>5081.6183880000008</v>
      </c>
      <c r="AZ188" s="114"/>
      <c r="BA188" s="114">
        <v>36</v>
      </c>
      <c r="BB188" s="111" t="s">
        <v>8</v>
      </c>
    </row>
    <row r="189" spans="1:54" s="100" customFormat="1" ht="11.25" customHeight="1" x14ac:dyDescent="0.15">
      <c r="A189" s="111" t="s">
        <v>428</v>
      </c>
      <c r="B189" s="111">
        <v>1</v>
      </c>
      <c r="C189" s="114">
        <v>182</v>
      </c>
      <c r="D189" s="112" t="s">
        <v>429</v>
      </c>
      <c r="E189" s="169">
        <v>1065</v>
      </c>
      <c r="F189" s="113">
        <f>ROUND(E189*Valores!$C$2,2)</f>
        <v>104163.39</v>
      </c>
      <c r="G189" s="169">
        <v>0</v>
      </c>
      <c r="H189" s="113">
        <f>ROUND(G189*Valores!$C$2,2)</f>
        <v>0</v>
      </c>
      <c r="I189" s="169">
        <v>0</v>
      </c>
      <c r="J189" s="113">
        <f>ROUND(I189*Valores!$C$2,2)</f>
        <v>0</v>
      </c>
      <c r="K189" s="169">
        <v>600</v>
      </c>
      <c r="L189" s="113">
        <f>ROUND(K189*Valores!$C$2,2)</f>
        <v>58683.6</v>
      </c>
      <c r="M189" s="113">
        <f>ROUND(IF($H$2=0,IF(AND(A189&lt;&gt;"13-930",A189&lt;&gt;"13-940"),(SUM(F189,H189,J189,L189,W189,S189,Q189)*Valores!$C$4),0),0),2)</f>
        <v>65408.38</v>
      </c>
      <c r="N189" s="113">
        <f t="shared" si="25"/>
        <v>0</v>
      </c>
      <c r="O189" s="113">
        <f>Valores!C$79</f>
        <v>225525.04</v>
      </c>
      <c r="P189" s="113">
        <f>Valores!$D$5</f>
        <v>49998.43</v>
      </c>
      <c r="Q189" s="113">
        <f>IF($F$4="NO",Valores!$C$26,Valores!$C$26/2)</f>
        <v>52265.18</v>
      </c>
      <c r="R189" s="113">
        <f>Valores!$C$8</f>
        <v>46521.33</v>
      </c>
      <c r="S189" s="113">
        <f t="shared" si="30"/>
        <v>46521.33</v>
      </c>
      <c r="T189" s="113">
        <v>0</v>
      </c>
      <c r="U189" s="113">
        <v>0</v>
      </c>
      <c r="V189" s="169">
        <v>0</v>
      </c>
      <c r="W189" s="113">
        <f>ROUND(V189*Valores!$C$2,2)</f>
        <v>0</v>
      </c>
      <c r="X189" s="113">
        <v>0</v>
      </c>
      <c r="Y189" s="188">
        <v>0</v>
      </c>
      <c r="Z189" s="113">
        <f t="shared" si="26"/>
        <v>0</v>
      </c>
      <c r="AA189" s="169">
        <v>0</v>
      </c>
      <c r="AB189" s="113">
        <f>ROUND(AA189*Valores!$C$2,2)</f>
        <v>0</v>
      </c>
      <c r="AC189" s="113">
        <f>ROUND(IF($F$4="NO",Valores!$C$32,Valores!$C$32/2),2)</f>
        <v>23377.77</v>
      </c>
      <c r="AD189" s="113">
        <f>SUM(F189,H189,J189,L189,M189,N189,O189,P189,Q189,S189,T189,U189,W189,X189,Z189,AB189,AC189)*Valores!$C$58</f>
        <v>62594.312000000005</v>
      </c>
      <c r="AE189" s="113">
        <f t="shared" si="27"/>
        <v>688537.43200000003</v>
      </c>
      <c r="AF189" s="113">
        <f>Valores!$C$12</f>
        <v>72856</v>
      </c>
      <c r="AG189" s="113">
        <f>Valores!$C$59</f>
        <v>25000</v>
      </c>
      <c r="AH189" s="113">
        <f t="shared" si="23"/>
        <v>97856</v>
      </c>
      <c r="AI189" s="113">
        <f>AE189*Valores!$C$39</f>
        <v>-75739.11752</v>
      </c>
      <c r="AJ189" s="113">
        <f>IF(AE189&lt;Valores!$E$40,-0.02,IF(AE189&lt;Valores!$F$40,-0.03,-0.04))*AE189</f>
        <v>-13770.748640000002</v>
      </c>
      <c r="AK189" s="113">
        <f>AE189*Valores!$C$42</f>
        <v>-37869.55876</v>
      </c>
      <c r="AL189" s="113">
        <f>Valores!$C$56</f>
        <v>-1270.1600000000001</v>
      </c>
      <c r="AM189" s="113">
        <f>IF($F$5=0,Valores!$C$57,(Valores!$C$57+$F$5*(Valores!$C$57)))</f>
        <v>-7026</v>
      </c>
      <c r="AN189" s="113">
        <f t="shared" si="28"/>
        <v>650717.84707999998</v>
      </c>
      <c r="AO189" s="113">
        <f t="shared" si="22"/>
        <v>-75739.11752</v>
      </c>
      <c r="AP189" s="113">
        <f t="shared" si="29"/>
        <v>-13770.748640000002</v>
      </c>
      <c r="AQ189" s="113">
        <f>AE189*Valores!$C$43</f>
        <v>-18590.510664000001</v>
      </c>
      <c r="AR189" s="113">
        <f>AE189*Valores!$C$44</f>
        <v>-2065.6122960000002</v>
      </c>
      <c r="AS189" s="113">
        <f t="shared" si="24"/>
        <v>676227.44287999999</v>
      </c>
      <c r="AT189" s="113">
        <f>AE189*Valores!$C$46</f>
        <v>110165.98912000001</v>
      </c>
      <c r="AU189" s="113">
        <f>AE189*Valores!$C$47</f>
        <v>48197.620240000004</v>
      </c>
      <c r="AV189" s="113">
        <f>AE189*Valores!$C$48</f>
        <v>6885.3743200000008</v>
      </c>
      <c r="AW189" s="113">
        <f>AE189*Valores!$C$50</f>
        <v>24098.810120000002</v>
      </c>
      <c r="AX189" s="113">
        <f>AE189*Valores!$C$52</f>
        <v>37181.021328000003</v>
      </c>
      <c r="AY189" s="113">
        <f>AE189*Valores!$C$51</f>
        <v>4131.2245920000005</v>
      </c>
      <c r="AZ189" s="114"/>
      <c r="BA189" s="114"/>
      <c r="BB189" s="111" t="s">
        <v>4</v>
      </c>
    </row>
    <row r="190" spans="1:54" s="100" customFormat="1" ht="12" customHeight="1" x14ac:dyDescent="0.15">
      <c r="A190" s="111" t="s">
        <v>430</v>
      </c>
      <c r="B190" s="111">
        <v>1</v>
      </c>
      <c r="C190" s="114">
        <v>183</v>
      </c>
      <c r="D190" s="112" t="s">
        <v>431</v>
      </c>
      <c r="E190" s="169">
        <v>971</v>
      </c>
      <c r="F190" s="113">
        <f>ROUND(E190*Valores!$C$2,2)</f>
        <v>94969.63</v>
      </c>
      <c r="G190" s="169">
        <v>0</v>
      </c>
      <c r="H190" s="113">
        <f>ROUND(G190*Valores!$C$2,2)</f>
        <v>0</v>
      </c>
      <c r="I190" s="169">
        <v>0</v>
      </c>
      <c r="J190" s="113">
        <f>ROUND(I190*Valores!$C$2,2)</f>
        <v>0</v>
      </c>
      <c r="K190" s="169">
        <v>660</v>
      </c>
      <c r="L190" s="113">
        <f>ROUND(K190*Valores!$C$2,2)</f>
        <v>64551.96</v>
      </c>
      <c r="M190" s="113">
        <f>ROUND(IF($H$2=0,IF(AND(A190&lt;&gt;"13-930",A190&lt;&gt;"13-940"),(SUM(F190,H190,J190,L190,W190,S190,Q190)*Valores!$C$4),0),0),2)</f>
        <v>60193.53</v>
      </c>
      <c r="N190" s="113">
        <f t="shared" si="25"/>
        <v>0</v>
      </c>
      <c r="O190" s="113">
        <f>Valores!C$73</f>
        <v>198577.36</v>
      </c>
      <c r="P190" s="113">
        <f>Valores!$D$5</f>
        <v>49998.43</v>
      </c>
      <c r="Q190" s="113">
        <f>IF($F$4="NO",Valores!$C$23,Valores!$C$23/2)</f>
        <v>34731.18</v>
      </c>
      <c r="R190" s="113">
        <f>Valores!$C$8</f>
        <v>46521.33</v>
      </c>
      <c r="S190" s="113">
        <f t="shared" si="30"/>
        <v>46521.33</v>
      </c>
      <c r="T190" s="113">
        <v>0</v>
      </c>
      <c r="U190" s="113">
        <v>0</v>
      </c>
      <c r="V190" s="169">
        <v>0</v>
      </c>
      <c r="W190" s="113">
        <f>ROUND(V190*Valores!$C$2,2)</f>
        <v>0</v>
      </c>
      <c r="X190" s="113">
        <v>0</v>
      </c>
      <c r="Y190" s="188">
        <v>0</v>
      </c>
      <c r="Z190" s="113">
        <f t="shared" si="26"/>
        <v>0</v>
      </c>
      <c r="AA190" s="169">
        <v>0</v>
      </c>
      <c r="AB190" s="113">
        <f>ROUND(AA190*Valores!$C$2,2)</f>
        <v>0</v>
      </c>
      <c r="AC190" s="113">
        <f>ROUND(IF($F$4="NO",Valores!$C$32,Valores!$C$32/2),2)</f>
        <v>23377.77</v>
      </c>
      <c r="AD190" s="113">
        <f>SUM(F190,H190,J190,L190,M190,N190,O190,P190,Q190,S190,T190,U190,W190,X190,Z190,AB190,AC190)*Valores!$C$58</f>
        <v>57292.118999999999</v>
      </c>
      <c r="AE190" s="113">
        <f t="shared" si="27"/>
        <v>630213.30899999989</v>
      </c>
      <c r="AF190" s="113">
        <f>Valores!$C$11</f>
        <v>36428</v>
      </c>
      <c r="AG190" s="113">
        <f>Valores!$C$59</f>
        <v>25000</v>
      </c>
      <c r="AH190" s="113">
        <f t="shared" si="23"/>
        <v>61428</v>
      </c>
      <c r="AI190" s="113">
        <f>AE190*Valores!$C$39</f>
        <v>-69323.463989999989</v>
      </c>
      <c r="AJ190" s="113">
        <f>IF(AE190&lt;Valores!$E$40,-0.02,IF(AE190&lt;Valores!$F$40,-0.03,-0.04))*AE190</f>
        <v>-12604.266179999999</v>
      </c>
      <c r="AK190" s="113">
        <f>AE190*Valores!$C$42</f>
        <v>-34661.731994999995</v>
      </c>
      <c r="AL190" s="113">
        <f>Valores!$C$56</f>
        <v>-1270.1600000000001</v>
      </c>
      <c r="AM190" s="113">
        <f>IF($F$5=0,Valores!$C$57,(Valores!$C$57+$F$5*(Valores!$C$57)))</f>
        <v>-7026</v>
      </c>
      <c r="AN190" s="113">
        <f t="shared" si="28"/>
        <v>566755.68683499994</v>
      </c>
      <c r="AO190" s="113">
        <f t="shared" si="22"/>
        <v>-69323.463989999989</v>
      </c>
      <c r="AP190" s="113">
        <f t="shared" si="29"/>
        <v>-12604.266179999999</v>
      </c>
      <c r="AQ190" s="113">
        <f>AE190*Valores!$C$43</f>
        <v>-17015.759342999998</v>
      </c>
      <c r="AR190" s="113">
        <f>AE190*Valores!$C$44</f>
        <v>-1890.6399269999997</v>
      </c>
      <c r="AS190" s="113">
        <f t="shared" si="24"/>
        <v>590807.17955999984</v>
      </c>
      <c r="AT190" s="113">
        <f>AE190*Valores!$C$46</f>
        <v>100834.12943999999</v>
      </c>
      <c r="AU190" s="113">
        <f>AE190*Valores!$C$47</f>
        <v>44114.931629999999</v>
      </c>
      <c r="AV190" s="113">
        <f>AE190*Valores!$C$48</f>
        <v>6302.1330899999994</v>
      </c>
      <c r="AW190" s="113">
        <f>AE190*Valores!$C$50</f>
        <v>22057.465815</v>
      </c>
      <c r="AX190" s="113">
        <f>AE190*Valores!$C$52</f>
        <v>34031.518685999996</v>
      </c>
      <c r="AY190" s="113">
        <f>AE190*Valores!$C$51</f>
        <v>3781.2798539999994</v>
      </c>
      <c r="AZ190" s="114"/>
      <c r="BA190" s="114">
        <v>18</v>
      </c>
      <c r="BB190" s="111" t="s">
        <v>4</v>
      </c>
    </row>
    <row r="191" spans="1:54" s="100" customFormat="1" ht="11.25" customHeight="1" x14ac:dyDescent="0.15">
      <c r="A191" s="111" t="s">
        <v>432</v>
      </c>
      <c r="B191" s="111">
        <v>1</v>
      </c>
      <c r="C191" s="114">
        <v>184</v>
      </c>
      <c r="D191" s="112" t="str">
        <f t="shared" ref="D191:D226" si="31">CONCATENATE("Hora Cátedra Enseñanza Superior ",B191," hs")</f>
        <v>Hora Cátedra Enseñanza Superior 1 hs</v>
      </c>
      <c r="E191" s="169">
        <v>99</v>
      </c>
      <c r="F191" s="113">
        <f>ROUND(E191*Valores!$C$2,2)</f>
        <v>9682.7900000000009</v>
      </c>
      <c r="G191" s="169">
        <v>0</v>
      </c>
      <c r="H191" s="113">
        <f>ROUND(G191*Valores!$C$2,2)</f>
        <v>0</v>
      </c>
      <c r="I191" s="169">
        <v>0</v>
      </c>
      <c r="J191" s="113">
        <f>ROUND(I191*Valores!$C$2,2)</f>
        <v>0</v>
      </c>
      <c r="K191" s="169">
        <v>0</v>
      </c>
      <c r="L191" s="113">
        <f>ROUND(K191*Valores!$C$2,2)</f>
        <v>0</v>
      </c>
      <c r="M191" s="113">
        <f>ROUND(IF($H$2=0,IF(AND(A191&lt;&gt;"13-930",A191&lt;&gt;"13-940"),(SUM(F191,H191,J191,L191,W191,S191,Q191)*Valores!$C$4),0),0),2)</f>
        <v>3118.24</v>
      </c>
      <c r="N191" s="113">
        <f t="shared" si="25"/>
        <v>0</v>
      </c>
      <c r="O191" s="113">
        <f>Valores!C$65*B191</f>
        <v>6651.37</v>
      </c>
      <c r="P191" s="113">
        <f>ROUND(IF((Valores!$E$5*B191)&lt;=Valores!$F$5,Valores!$E$5*B191,Valores!$F$5),2)</f>
        <v>3333.23</v>
      </c>
      <c r="Q191" s="113">
        <f>IF($F$4="NO",Valores!$C$28*B191,Valores!$C$28*B191/2)</f>
        <v>1747.04</v>
      </c>
      <c r="R191" s="113">
        <f>Valores!$C$7*B191</f>
        <v>1043.1400000000001</v>
      </c>
      <c r="S191" s="113">
        <f t="shared" si="30"/>
        <v>1043.1400000000001</v>
      </c>
      <c r="T191" s="113">
        <v>0</v>
      </c>
      <c r="U191" s="113">
        <v>0</v>
      </c>
      <c r="V191" s="169">
        <v>0</v>
      </c>
      <c r="W191" s="113">
        <f>ROUND(V191*Valores!$C$2,2)</f>
        <v>0</v>
      </c>
      <c r="X191" s="113">
        <v>0</v>
      </c>
      <c r="Y191" s="188">
        <v>0</v>
      </c>
      <c r="Z191" s="113">
        <f t="shared" si="26"/>
        <v>0</v>
      </c>
      <c r="AA191" s="169">
        <v>0</v>
      </c>
      <c r="AB191" s="113">
        <f>ROUND(AA191*Valores!$C$2,2)</f>
        <v>0</v>
      </c>
      <c r="AC191" s="113">
        <f>ROUND(IF($F$4="NO",Valores!$C$33*B191,Valores!$C$33*B191/2),2)</f>
        <v>1558.52</v>
      </c>
      <c r="AD191" s="113">
        <f>SUM(F191,H191,J191,L191,M191,N191,O191,P191,Q191,S191,T191,U191,W191,X191,Z191,AB191,AC191)*Valores!$C$58</f>
        <v>2713.4330000000004</v>
      </c>
      <c r="AE191" s="113">
        <f t="shared" si="27"/>
        <v>29847.763000000003</v>
      </c>
      <c r="AF191" s="113">
        <f>IF(Valores!$C$13*B191&gt;Valores!$F$13,Valores!$F$13,Valores!$C$13*B191)</f>
        <v>2428.5333333333333</v>
      </c>
      <c r="AG191" s="113">
        <f>IF((Valores!$C$59/20*B191)&gt;Valores!$C$59,Valores!$C$59,Valores!$C$59/20*B191)</f>
        <v>1250</v>
      </c>
      <c r="AH191" s="113">
        <f t="shared" si="23"/>
        <v>3678.5333333333333</v>
      </c>
      <c r="AI191" s="113">
        <f>AE191*Valores!$C$39</f>
        <v>-3283.2539300000003</v>
      </c>
      <c r="AJ191" s="113">
        <f>IF(AE191&lt;Valores!$E$40,-0.02,IF(AE191&lt;Valores!$F$40,-0.03,-0.04))*AE191</f>
        <v>-596.95526000000007</v>
      </c>
      <c r="AK191" s="113">
        <f>AE191*Valores!$C$42</f>
        <v>-1641.6269650000002</v>
      </c>
      <c r="AL191" s="113">
        <f>Valores!$C$56</f>
        <v>-1270.1600000000001</v>
      </c>
      <c r="AM191" s="113">
        <f>IF($F$5=0,Valores!$C$57,(Valores!$C$57+$F$5*(Valores!$C$57)))</f>
        <v>-7026</v>
      </c>
      <c r="AN191" s="113">
        <f t="shared" si="28"/>
        <v>19708.300178333335</v>
      </c>
      <c r="AO191" s="113">
        <f t="shared" si="22"/>
        <v>-3283.2539300000003</v>
      </c>
      <c r="AP191" s="113">
        <f t="shared" si="29"/>
        <v>-596.95526000000007</v>
      </c>
      <c r="AQ191" s="113">
        <f>AE191*Valores!$C$43</f>
        <v>-805.88960100000008</v>
      </c>
      <c r="AR191" s="113">
        <f>AE191*Valores!$C$44</f>
        <v>-89.543289000000016</v>
      </c>
      <c r="AS191" s="113">
        <f t="shared" si="24"/>
        <v>28750.654253333338</v>
      </c>
      <c r="AT191" s="113">
        <f>AE191*Valores!$C$46</f>
        <v>4775.6420800000005</v>
      </c>
      <c r="AU191" s="113">
        <f>AE191*Valores!$C$47</f>
        <v>2089.3434100000004</v>
      </c>
      <c r="AV191" s="113">
        <f>AE191*Valores!$C$48</f>
        <v>298.47763000000003</v>
      </c>
      <c r="AW191" s="113">
        <f>AE191*Valores!$C$50</f>
        <v>1044.6717050000002</v>
      </c>
      <c r="AX191" s="113">
        <f>AE191*Valores!$C$52</f>
        <v>1611.7792020000002</v>
      </c>
      <c r="AY191" s="113">
        <f>AE191*Valores!$C$51</f>
        <v>179.08657800000003</v>
      </c>
      <c r="AZ191" s="114"/>
      <c r="BA191" s="114">
        <f t="shared" ref="BA191:BA222" si="32">1*B191</f>
        <v>1</v>
      </c>
      <c r="BB191" s="111" t="s">
        <v>4</v>
      </c>
    </row>
    <row r="192" spans="1:54" s="100" customFormat="1" ht="11.25" customHeight="1" x14ac:dyDescent="0.15">
      <c r="A192" s="111" t="s">
        <v>432</v>
      </c>
      <c r="B192" s="111">
        <v>2</v>
      </c>
      <c r="C192" s="114">
        <v>185</v>
      </c>
      <c r="D192" s="112" t="str">
        <f t="shared" si="31"/>
        <v>Hora Cátedra Enseñanza Superior 2 hs</v>
      </c>
      <c r="E192" s="169">
        <v>198</v>
      </c>
      <c r="F192" s="113">
        <f>ROUND(E192*Valores!$C$2,2)</f>
        <v>19365.59</v>
      </c>
      <c r="G192" s="169">
        <v>0</v>
      </c>
      <c r="H192" s="113">
        <f>ROUND(G192*Valores!$C$2,2)</f>
        <v>0</v>
      </c>
      <c r="I192" s="169">
        <v>0</v>
      </c>
      <c r="J192" s="113">
        <f>ROUND(I192*Valores!$C$2,2)</f>
        <v>0</v>
      </c>
      <c r="K192" s="169">
        <v>0</v>
      </c>
      <c r="L192" s="113">
        <f>ROUND(K192*Valores!$C$2,2)</f>
        <v>0</v>
      </c>
      <c r="M192" s="113">
        <f>ROUND(IF($H$2=0,IF(AND(A192&lt;&gt;"13-930",A192&lt;&gt;"13-940"),(SUM(F192,H192,J192,L192,W192,S192,Q192)*Valores!$C$4),0),0),2)</f>
        <v>6236.49</v>
      </c>
      <c r="N192" s="113">
        <f t="shared" si="25"/>
        <v>0</v>
      </c>
      <c r="O192" s="113">
        <f>Valores!C$65*B192</f>
        <v>13302.74</v>
      </c>
      <c r="P192" s="113">
        <f>ROUND(IF((Valores!$E$5*B192)&lt;=Valores!$F$5,Valores!$E$5*B192,Valores!$F$5),2)</f>
        <v>6666.46</v>
      </c>
      <c r="Q192" s="113">
        <f>IF($F$4="NO",Valores!$C$28*B192,Valores!$C$28*B192/2)</f>
        <v>3494.08</v>
      </c>
      <c r="R192" s="113">
        <f>Valores!$C$7*B192</f>
        <v>2086.2800000000002</v>
      </c>
      <c r="S192" s="113">
        <f t="shared" si="30"/>
        <v>2086.2800000000002</v>
      </c>
      <c r="T192" s="113">
        <v>0</v>
      </c>
      <c r="U192" s="113">
        <v>0</v>
      </c>
      <c r="V192" s="169">
        <v>0</v>
      </c>
      <c r="W192" s="113">
        <f>ROUND(V192*Valores!$C$2,2)</f>
        <v>0</v>
      </c>
      <c r="X192" s="113">
        <v>0</v>
      </c>
      <c r="Y192" s="188">
        <v>0</v>
      </c>
      <c r="Z192" s="113">
        <f t="shared" si="26"/>
        <v>0</v>
      </c>
      <c r="AA192" s="169">
        <v>0</v>
      </c>
      <c r="AB192" s="113">
        <f>ROUND(AA192*Valores!$C$2,2)</f>
        <v>0</v>
      </c>
      <c r="AC192" s="113">
        <f>ROUND(IF($F$4="NO",Valores!$C$33*B192,Valores!$C$33*B192/2),2)</f>
        <v>3117.04</v>
      </c>
      <c r="AD192" s="113">
        <f>SUM(F192,H192,J192,L192,M192,N192,O192,P192,Q192,S192,T192,U192,W192,X192,Z192,AB192,AC192)*Valores!$C$58</f>
        <v>5426.8680000000004</v>
      </c>
      <c r="AE192" s="113">
        <f t="shared" si="27"/>
        <v>59695.548000000003</v>
      </c>
      <c r="AF192" s="113">
        <f>IF(Valores!$C$13*B192&gt;Valores!$F$13,Valores!$F$13,Valores!$C$13*B192)</f>
        <v>4857.0666666666666</v>
      </c>
      <c r="AG192" s="113">
        <f>IF((Valores!$C$59/20*B192)&gt;Valores!$C$59,Valores!$C$59,Valores!$C$59/20*B192)</f>
        <v>2500</v>
      </c>
      <c r="AH192" s="113">
        <f t="shared" si="23"/>
        <v>7357.0666666666666</v>
      </c>
      <c r="AI192" s="113">
        <f>AE192*Valores!$C$39</f>
        <v>-6566.5102800000004</v>
      </c>
      <c r="AJ192" s="113">
        <f>IF(AE192&lt;Valores!$E$40,-0.02,IF(AE192&lt;Valores!$F$40,-0.03,-0.04))*AE192</f>
        <v>-1193.9109600000002</v>
      </c>
      <c r="AK192" s="113">
        <f>AE192*Valores!$C$42</f>
        <v>-3283.2551400000002</v>
      </c>
      <c r="AL192" s="113">
        <f>Valores!$C$56</f>
        <v>-1270.1600000000001</v>
      </c>
      <c r="AM192" s="113">
        <f>IF($F$5=0,Valores!$C$57,(Valores!$C$57+$F$5*(Valores!$C$57)))</f>
        <v>-7026</v>
      </c>
      <c r="AN192" s="113">
        <f t="shared" si="28"/>
        <v>47712.778286666668</v>
      </c>
      <c r="AO192" s="113">
        <f t="shared" si="22"/>
        <v>-6566.5102800000004</v>
      </c>
      <c r="AP192" s="113">
        <f t="shared" si="29"/>
        <v>-1193.9109600000002</v>
      </c>
      <c r="AQ192" s="113">
        <f>AE192*Valores!$C$43</f>
        <v>-1611.779796</v>
      </c>
      <c r="AR192" s="113">
        <f>AE192*Valores!$C$44</f>
        <v>-179.08664400000001</v>
      </c>
      <c r="AS192" s="113">
        <f t="shared" si="24"/>
        <v>57501.326986666674</v>
      </c>
      <c r="AT192" s="113">
        <f>AE192*Valores!$C$46</f>
        <v>9551.2876800000013</v>
      </c>
      <c r="AU192" s="113">
        <f>AE192*Valores!$C$47</f>
        <v>4178.688360000001</v>
      </c>
      <c r="AV192" s="113">
        <f>AE192*Valores!$C$48</f>
        <v>596.95548000000008</v>
      </c>
      <c r="AW192" s="113">
        <f>AE192*Valores!$C$50</f>
        <v>2089.3441800000005</v>
      </c>
      <c r="AX192" s="113">
        <f>AE192*Valores!$C$52</f>
        <v>3223.5595920000001</v>
      </c>
      <c r="AY192" s="113">
        <f>AE192*Valores!$C$51</f>
        <v>358.17328800000001</v>
      </c>
      <c r="AZ192" s="114"/>
      <c r="BA192" s="114">
        <f t="shared" si="32"/>
        <v>2</v>
      </c>
      <c r="BB192" s="111" t="s">
        <v>4</v>
      </c>
    </row>
    <row r="193" spans="1:54" s="100" customFormat="1" ht="11.25" customHeight="1" x14ac:dyDescent="0.15">
      <c r="A193" s="111" t="s">
        <v>432</v>
      </c>
      <c r="B193" s="111">
        <v>3</v>
      </c>
      <c r="C193" s="114">
        <v>186</v>
      </c>
      <c r="D193" s="112" t="str">
        <f t="shared" si="31"/>
        <v>Hora Cátedra Enseñanza Superior 3 hs</v>
      </c>
      <c r="E193" s="169">
        <v>297</v>
      </c>
      <c r="F193" s="113">
        <f>ROUND(E193*Valores!$C$2,2)</f>
        <v>29048.38</v>
      </c>
      <c r="G193" s="169">
        <v>0</v>
      </c>
      <c r="H193" s="113">
        <f>ROUND(G193*Valores!$C$2,2)</f>
        <v>0</v>
      </c>
      <c r="I193" s="169">
        <v>0</v>
      </c>
      <c r="J193" s="113">
        <f>ROUND(I193*Valores!$C$2,2)</f>
        <v>0</v>
      </c>
      <c r="K193" s="169">
        <v>0</v>
      </c>
      <c r="L193" s="113">
        <f>ROUND(K193*Valores!$C$2,2)</f>
        <v>0</v>
      </c>
      <c r="M193" s="113">
        <f>ROUND(IF($H$2=0,IF(AND(A193&lt;&gt;"13-930",A193&lt;&gt;"13-940"),(SUM(F193,H193,J193,L193,W193,S193,Q193)*Valores!$C$4),0),0),2)</f>
        <v>9354.73</v>
      </c>
      <c r="N193" s="113">
        <f t="shared" si="25"/>
        <v>0</v>
      </c>
      <c r="O193" s="113">
        <f>Valores!C$65*B193</f>
        <v>19954.11</v>
      </c>
      <c r="P193" s="113">
        <f>ROUND(IF((Valores!$E$5*B193)&lt;=Valores!$F$5,Valores!$E$5*B193,Valores!$F$5),2)</f>
        <v>9999.69</v>
      </c>
      <c r="Q193" s="113">
        <f>IF($F$4="NO",Valores!$C$28*B193,Valores!$C$28*B193/2)</f>
        <v>5241.12</v>
      </c>
      <c r="R193" s="113">
        <f>Valores!$C$7*B193</f>
        <v>3129.42</v>
      </c>
      <c r="S193" s="113">
        <f t="shared" si="30"/>
        <v>3129.42</v>
      </c>
      <c r="T193" s="113">
        <v>0</v>
      </c>
      <c r="U193" s="113">
        <v>0</v>
      </c>
      <c r="V193" s="169">
        <v>0</v>
      </c>
      <c r="W193" s="113">
        <f>ROUND(V193*Valores!$C$2,2)</f>
        <v>0</v>
      </c>
      <c r="X193" s="113">
        <v>0</v>
      </c>
      <c r="Y193" s="188">
        <v>0</v>
      </c>
      <c r="Z193" s="113">
        <f t="shared" si="26"/>
        <v>0</v>
      </c>
      <c r="AA193" s="169">
        <v>0</v>
      </c>
      <c r="AB193" s="113">
        <f>ROUND(AA193*Valores!$C$2,2)</f>
        <v>0</v>
      </c>
      <c r="AC193" s="113">
        <f>ROUND(IF($F$4="NO",Valores!$C$33*B193,Valores!$C$33*B193/2),2)</f>
        <v>4675.55</v>
      </c>
      <c r="AD193" s="113">
        <f>SUM(F193,H193,J193,L193,M193,N193,O193,P193,Q193,S193,T193,U193,W193,X193,Z193,AB193,AC193)*Valores!$C$58</f>
        <v>8140.3</v>
      </c>
      <c r="AE193" s="113">
        <f t="shared" si="27"/>
        <v>89543.3</v>
      </c>
      <c r="AF193" s="113">
        <f>IF(Valores!$C$13*B193&gt;Valores!$F$13,Valores!$F$13,Valores!$C$13*B193)</f>
        <v>7285.6</v>
      </c>
      <c r="AG193" s="113">
        <f>IF((Valores!$C$59/20*B193)&gt;Valores!$C$59,Valores!$C$59,Valores!$C$59/20*B193)</f>
        <v>3750</v>
      </c>
      <c r="AH193" s="113">
        <f t="shared" si="23"/>
        <v>11035.6</v>
      </c>
      <c r="AI193" s="113">
        <f>AE193*Valores!$C$39</f>
        <v>-9849.7630000000008</v>
      </c>
      <c r="AJ193" s="113">
        <f>IF(AE193&lt;Valores!$E$40,-0.02,IF(AE193&lt;Valores!$F$40,-0.03,-0.04))*AE193</f>
        <v>-1790.866</v>
      </c>
      <c r="AK193" s="113">
        <f>AE193*Valores!$C$42</f>
        <v>-4924.8815000000004</v>
      </c>
      <c r="AL193" s="113">
        <f>Valores!$C$56</f>
        <v>-1270.1600000000001</v>
      </c>
      <c r="AM193" s="113">
        <f>IF($F$5=0,Valores!$C$57,(Valores!$C$57+$F$5*(Valores!$C$57)))</f>
        <v>-7026</v>
      </c>
      <c r="AN193" s="113">
        <f t="shared" si="28"/>
        <v>75717.229500000001</v>
      </c>
      <c r="AO193" s="113">
        <f t="shared" si="22"/>
        <v>-9849.7630000000008</v>
      </c>
      <c r="AP193" s="113">
        <f t="shared" si="29"/>
        <v>-1790.866</v>
      </c>
      <c r="AQ193" s="113">
        <f>AE193*Valores!$C$43</f>
        <v>-2417.6691000000001</v>
      </c>
      <c r="AR193" s="113">
        <f>AE193*Valores!$C$44</f>
        <v>-268.62990000000002</v>
      </c>
      <c r="AS193" s="113">
        <f t="shared" si="24"/>
        <v>86251.972000000009</v>
      </c>
      <c r="AT193" s="113">
        <f>AE193*Valores!$C$46</f>
        <v>14326.928</v>
      </c>
      <c r="AU193" s="113">
        <f>AE193*Valores!$C$47</f>
        <v>6268.0310000000009</v>
      </c>
      <c r="AV193" s="113">
        <f>AE193*Valores!$C$48</f>
        <v>895.43299999999999</v>
      </c>
      <c r="AW193" s="113">
        <f>AE193*Valores!$C$50</f>
        <v>3134.0155000000004</v>
      </c>
      <c r="AX193" s="113">
        <f>AE193*Valores!$C$52</f>
        <v>4835.3382000000001</v>
      </c>
      <c r="AY193" s="113">
        <f>AE193*Valores!$C$51</f>
        <v>537.25980000000004</v>
      </c>
      <c r="AZ193" s="114"/>
      <c r="BA193" s="114">
        <f t="shared" si="32"/>
        <v>3</v>
      </c>
      <c r="BB193" s="111" t="s">
        <v>4</v>
      </c>
    </row>
    <row r="194" spans="1:54" s="100" customFormat="1" ht="11.25" customHeight="1" x14ac:dyDescent="0.15">
      <c r="A194" s="111" t="s">
        <v>432</v>
      </c>
      <c r="B194" s="111">
        <v>4</v>
      </c>
      <c r="C194" s="114">
        <v>187</v>
      </c>
      <c r="D194" s="112" t="str">
        <f t="shared" si="31"/>
        <v>Hora Cátedra Enseñanza Superior 4 hs</v>
      </c>
      <c r="E194" s="169">
        <v>396</v>
      </c>
      <c r="F194" s="113">
        <f>ROUND(E194*Valores!$C$2,2)</f>
        <v>38731.18</v>
      </c>
      <c r="G194" s="169">
        <v>0</v>
      </c>
      <c r="H194" s="113">
        <f>ROUND(G194*Valores!$C$2,2)</f>
        <v>0</v>
      </c>
      <c r="I194" s="169">
        <v>0</v>
      </c>
      <c r="J194" s="113">
        <f>ROUND(I194*Valores!$C$2,2)</f>
        <v>0</v>
      </c>
      <c r="K194" s="169">
        <v>0</v>
      </c>
      <c r="L194" s="113">
        <f>ROUND(K194*Valores!$C$2,2)</f>
        <v>0</v>
      </c>
      <c r="M194" s="113">
        <f>ROUND(IF($H$2=0,IF(AND(A194&lt;&gt;"13-930",A194&lt;&gt;"13-940"),(SUM(F194,H194,J194,L194,W194,S194,Q194)*Valores!$C$4),0),0),2)</f>
        <v>12472.98</v>
      </c>
      <c r="N194" s="113">
        <f t="shared" si="25"/>
        <v>0</v>
      </c>
      <c r="O194" s="113">
        <f>Valores!C$65*B194</f>
        <v>26605.48</v>
      </c>
      <c r="P194" s="113">
        <f>ROUND(IF((Valores!$E$5*B194)&lt;=Valores!$F$5,Valores!$E$5*B194,Valores!$F$5),2)</f>
        <v>13332.92</v>
      </c>
      <c r="Q194" s="113">
        <f>IF($F$4="NO",Valores!$C$28*B194,Valores!$C$28*B194/2)</f>
        <v>6988.16</v>
      </c>
      <c r="R194" s="113">
        <f>Valores!$C$7*B194</f>
        <v>4172.5600000000004</v>
      </c>
      <c r="S194" s="113">
        <f t="shared" si="30"/>
        <v>4172.5600000000004</v>
      </c>
      <c r="T194" s="113">
        <v>0</v>
      </c>
      <c r="U194" s="113">
        <v>0</v>
      </c>
      <c r="V194" s="169">
        <v>0</v>
      </c>
      <c r="W194" s="113">
        <f>ROUND(V194*Valores!$C$2,2)</f>
        <v>0</v>
      </c>
      <c r="X194" s="113">
        <v>0</v>
      </c>
      <c r="Y194" s="188">
        <v>0</v>
      </c>
      <c r="Z194" s="113">
        <f t="shared" si="26"/>
        <v>0</v>
      </c>
      <c r="AA194" s="169">
        <v>0</v>
      </c>
      <c r="AB194" s="113">
        <f>ROUND(AA194*Valores!$C$2,2)</f>
        <v>0</v>
      </c>
      <c r="AC194" s="113">
        <f>ROUND(IF($F$4="NO",Valores!$C$33*B194,Valores!$C$33*B194/2),2)</f>
        <v>6234.07</v>
      </c>
      <c r="AD194" s="113">
        <f>SUM(F194,H194,J194,L194,M194,N194,O194,P194,Q194,S194,T194,U194,W194,X194,Z194,AB194,AC194)*Valores!$C$58</f>
        <v>10853.735000000001</v>
      </c>
      <c r="AE194" s="113">
        <f t="shared" si="27"/>
        <v>119391.08500000001</v>
      </c>
      <c r="AF194" s="113">
        <f>IF(Valores!$C$13*B194&gt;Valores!$F$13,Valores!$F$13,Valores!$C$13*B194)</f>
        <v>9714.1333333333332</v>
      </c>
      <c r="AG194" s="113">
        <f>IF((Valores!$C$59/20*B194)&gt;Valores!$C$59,Valores!$C$59,Valores!$C$59/20*B194)</f>
        <v>5000</v>
      </c>
      <c r="AH194" s="113">
        <f t="shared" si="23"/>
        <v>14714.133333333333</v>
      </c>
      <c r="AI194" s="113">
        <f>AE194*Valores!$C$39</f>
        <v>-13133.01935</v>
      </c>
      <c r="AJ194" s="113">
        <f>IF(AE194&lt;Valores!$E$40,-0.02,IF(AE194&lt;Valores!$F$40,-0.03,-0.04))*AE194</f>
        <v>-2387.8217</v>
      </c>
      <c r="AK194" s="113">
        <f>AE194*Valores!$C$42</f>
        <v>-6566.5096750000002</v>
      </c>
      <c r="AL194" s="113">
        <f>Valores!$C$56</f>
        <v>-1270.1600000000001</v>
      </c>
      <c r="AM194" s="113">
        <f>IF($F$5=0,Valores!$C$57,(Valores!$C$57+$F$5*(Valores!$C$57)))</f>
        <v>-7026</v>
      </c>
      <c r="AN194" s="113">
        <f t="shared" si="28"/>
        <v>103721.70760833334</v>
      </c>
      <c r="AO194" s="113">
        <f t="shared" si="22"/>
        <v>-13133.01935</v>
      </c>
      <c r="AP194" s="113">
        <f t="shared" si="29"/>
        <v>-2387.8217</v>
      </c>
      <c r="AQ194" s="113">
        <f>AE194*Valores!$C$43</f>
        <v>-3223.559295</v>
      </c>
      <c r="AR194" s="113">
        <f>AE194*Valores!$C$44</f>
        <v>-358.17325500000004</v>
      </c>
      <c r="AS194" s="113">
        <f t="shared" si="24"/>
        <v>115002.64473333335</v>
      </c>
      <c r="AT194" s="113">
        <f>AE194*Valores!$C$46</f>
        <v>19102.5736</v>
      </c>
      <c r="AU194" s="113">
        <f>AE194*Valores!$C$47</f>
        <v>8357.3759500000015</v>
      </c>
      <c r="AV194" s="113">
        <f>AE194*Valores!$C$48</f>
        <v>1193.91085</v>
      </c>
      <c r="AW194" s="113">
        <f>AE194*Valores!$C$50</f>
        <v>4178.6879750000007</v>
      </c>
      <c r="AX194" s="113">
        <f>AE194*Valores!$C$52</f>
        <v>6447.11859</v>
      </c>
      <c r="AY194" s="113">
        <f>AE194*Valores!$C$51</f>
        <v>716.34651000000008</v>
      </c>
      <c r="AZ194" s="114"/>
      <c r="BA194" s="114">
        <f t="shared" si="32"/>
        <v>4</v>
      </c>
      <c r="BB194" s="111" t="s">
        <v>4</v>
      </c>
    </row>
    <row r="195" spans="1:54" s="100" customFormat="1" ht="11.25" customHeight="1" x14ac:dyDescent="0.15">
      <c r="A195" s="111" t="s">
        <v>432</v>
      </c>
      <c r="B195" s="111">
        <v>5</v>
      </c>
      <c r="C195" s="114">
        <v>188</v>
      </c>
      <c r="D195" s="112" t="str">
        <f t="shared" si="31"/>
        <v>Hora Cátedra Enseñanza Superior 5 hs</v>
      </c>
      <c r="E195" s="169">
        <v>495</v>
      </c>
      <c r="F195" s="113">
        <f>ROUND(E195*Valores!$C$2,2)</f>
        <v>48413.97</v>
      </c>
      <c r="G195" s="169">
        <v>0</v>
      </c>
      <c r="H195" s="113">
        <f>ROUND(G195*Valores!$C$2,2)</f>
        <v>0</v>
      </c>
      <c r="I195" s="169">
        <v>0</v>
      </c>
      <c r="J195" s="113">
        <f>ROUND(I195*Valores!$C$2,2)</f>
        <v>0</v>
      </c>
      <c r="K195" s="169">
        <v>0</v>
      </c>
      <c r="L195" s="113">
        <f>ROUND(K195*Valores!$C$2,2)</f>
        <v>0</v>
      </c>
      <c r="M195" s="113">
        <f>ROUND(IF($H$2=0,IF(AND(A195&lt;&gt;"13-930",A195&lt;&gt;"13-940"),(SUM(F195,H195,J195,L195,W195,S195,Q195)*Valores!$C$4),0),0),2)</f>
        <v>15591.22</v>
      </c>
      <c r="N195" s="113">
        <f t="shared" si="25"/>
        <v>0</v>
      </c>
      <c r="O195" s="113">
        <f>Valores!C$65*B195</f>
        <v>33256.85</v>
      </c>
      <c r="P195" s="113">
        <f>ROUND(IF((Valores!$E$5*B195)&lt;=Valores!$F$5,Valores!$E$5*B195,Valores!$F$5),2)</f>
        <v>16666.150000000001</v>
      </c>
      <c r="Q195" s="113">
        <f>IF($F$4="NO",Valores!$C$28*B195,Valores!$C$28*B195/2)</f>
        <v>8735.2000000000007</v>
      </c>
      <c r="R195" s="113">
        <f>Valores!$C$7*B195</f>
        <v>5215.7000000000007</v>
      </c>
      <c r="S195" s="113">
        <f t="shared" si="30"/>
        <v>5215.7</v>
      </c>
      <c r="T195" s="113">
        <v>0</v>
      </c>
      <c r="U195" s="113">
        <v>0</v>
      </c>
      <c r="V195" s="169">
        <v>0</v>
      </c>
      <c r="W195" s="113">
        <f>ROUND(V195*Valores!$C$2,2)</f>
        <v>0</v>
      </c>
      <c r="X195" s="113">
        <v>0</v>
      </c>
      <c r="Y195" s="188">
        <v>0</v>
      </c>
      <c r="Z195" s="113">
        <f t="shared" si="26"/>
        <v>0</v>
      </c>
      <c r="AA195" s="169">
        <v>0</v>
      </c>
      <c r="AB195" s="113">
        <f>ROUND(AA195*Valores!$C$2,2)</f>
        <v>0</v>
      </c>
      <c r="AC195" s="113">
        <f>ROUND(IF($F$4="NO",Valores!$C$33*B195,Valores!$C$33*B195/2),2)</f>
        <v>7792.59</v>
      </c>
      <c r="AD195" s="113">
        <f>SUM(F195,H195,J195,L195,M195,N195,O195,P195,Q195,S195,T195,U195,W195,X195,Z195,AB195,AC195)*Valores!$C$58</f>
        <v>13567.168</v>
      </c>
      <c r="AE195" s="113">
        <f t="shared" si="27"/>
        <v>149238.848</v>
      </c>
      <c r="AF195" s="113">
        <f>IF(Valores!$C$13*B195&gt;Valores!$F$13,Valores!$F$13,Valores!$C$13*B195)</f>
        <v>12142.666666666666</v>
      </c>
      <c r="AG195" s="113">
        <f>IF((Valores!$C$59/20*B195)&gt;Valores!$C$59,Valores!$C$59,Valores!$C$59/20*B195)</f>
        <v>6250</v>
      </c>
      <c r="AH195" s="113">
        <f t="shared" si="23"/>
        <v>18392.666666666664</v>
      </c>
      <c r="AI195" s="113">
        <f>AE195*Valores!$C$39</f>
        <v>-16416.273280000001</v>
      </c>
      <c r="AJ195" s="113">
        <f>IF(AE195&lt;Valores!$E$40,-0.02,IF(AE195&lt;Valores!$F$40,-0.03,-0.04))*AE195</f>
        <v>-2984.7769600000001</v>
      </c>
      <c r="AK195" s="113">
        <f>AE195*Valores!$C$42</f>
        <v>-8208.1366400000006</v>
      </c>
      <c r="AL195" s="113">
        <f>Valores!$C$56</f>
        <v>-1270.1600000000001</v>
      </c>
      <c r="AM195" s="113">
        <f>IF($F$5=0,Valores!$C$57,(Valores!$C$57+$F$5*(Valores!$C$57)))</f>
        <v>-7026</v>
      </c>
      <c r="AN195" s="113">
        <f t="shared" si="28"/>
        <v>131726.16778666666</v>
      </c>
      <c r="AO195" s="113">
        <f t="shared" si="22"/>
        <v>-16416.273280000001</v>
      </c>
      <c r="AP195" s="113">
        <f t="shared" si="29"/>
        <v>-2984.7769600000001</v>
      </c>
      <c r="AQ195" s="113">
        <f>AE195*Valores!$C$43</f>
        <v>-4029.4488959999999</v>
      </c>
      <c r="AR195" s="113">
        <f>AE195*Valores!$C$44</f>
        <v>-447.716544</v>
      </c>
      <c r="AS195" s="113">
        <f t="shared" si="24"/>
        <v>143753.29898666666</v>
      </c>
      <c r="AT195" s="113">
        <f>AE195*Valores!$C$46</f>
        <v>23878.215680000001</v>
      </c>
      <c r="AU195" s="113">
        <f>AE195*Valores!$C$47</f>
        <v>10446.719360000001</v>
      </c>
      <c r="AV195" s="113">
        <f>AE195*Valores!$C$48</f>
        <v>1492.3884800000001</v>
      </c>
      <c r="AW195" s="113">
        <f>AE195*Valores!$C$50</f>
        <v>5223.3596800000005</v>
      </c>
      <c r="AX195" s="113">
        <f>AE195*Valores!$C$52</f>
        <v>8058.8977919999998</v>
      </c>
      <c r="AY195" s="113">
        <f>AE195*Valores!$C$51</f>
        <v>895.433088</v>
      </c>
      <c r="AZ195" s="114"/>
      <c r="BA195" s="114">
        <f t="shared" si="32"/>
        <v>5</v>
      </c>
      <c r="BB195" s="111" t="s">
        <v>4</v>
      </c>
    </row>
    <row r="196" spans="1:54" s="100" customFormat="1" ht="11.25" customHeight="1" x14ac:dyDescent="0.15">
      <c r="A196" s="111" t="s">
        <v>432</v>
      </c>
      <c r="B196" s="111">
        <v>6</v>
      </c>
      <c r="C196" s="114">
        <v>189</v>
      </c>
      <c r="D196" s="112" t="str">
        <f t="shared" si="31"/>
        <v>Hora Cátedra Enseñanza Superior 6 hs</v>
      </c>
      <c r="E196" s="169">
        <v>594</v>
      </c>
      <c r="F196" s="113">
        <f>ROUND(E196*Valores!$C$2,2)</f>
        <v>58096.76</v>
      </c>
      <c r="G196" s="169">
        <v>0</v>
      </c>
      <c r="H196" s="113">
        <f>ROUND(G196*Valores!$C$2,2)</f>
        <v>0</v>
      </c>
      <c r="I196" s="169">
        <v>0</v>
      </c>
      <c r="J196" s="113">
        <f>ROUND(I196*Valores!$C$2,2)</f>
        <v>0</v>
      </c>
      <c r="K196" s="169">
        <v>0</v>
      </c>
      <c r="L196" s="113">
        <f>ROUND(K196*Valores!$C$2,2)</f>
        <v>0</v>
      </c>
      <c r="M196" s="113">
        <f>ROUND(IF($H$2=0,IF(AND(A196&lt;&gt;"13-930",A196&lt;&gt;"13-940"),(SUM(F196,H196,J196,L196,W196,S196,Q196)*Valores!$C$4),0),0),2)</f>
        <v>18709.46</v>
      </c>
      <c r="N196" s="113">
        <f t="shared" si="25"/>
        <v>0</v>
      </c>
      <c r="O196" s="113">
        <f>Valores!C$65*B196</f>
        <v>39908.22</v>
      </c>
      <c r="P196" s="113">
        <f>ROUND(IF((Valores!$E$5*B196)&lt;=Valores!$F$5,Valores!$E$5*B196,Valores!$F$5),2)</f>
        <v>19999.38</v>
      </c>
      <c r="Q196" s="113">
        <f>IF($F$4="NO",Valores!$C$28*B196,Valores!$C$28*B196/2)</f>
        <v>10482.24</v>
      </c>
      <c r="R196" s="113">
        <f>Valores!$C$7*B196</f>
        <v>6258.84</v>
      </c>
      <c r="S196" s="113">
        <f t="shared" si="30"/>
        <v>6258.84</v>
      </c>
      <c r="T196" s="113">
        <v>0</v>
      </c>
      <c r="U196" s="113">
        <v>0</v>
      </c>
      <c r="V196" s="169">
        <v>0</v>
      </c>
      <c r="W196" s="113">
        <f>ROUND(V196*Valores!$C$2,2)</f>
        <v>0</v>
      </c>
      <c r="X196" s="113">
        <v>0</v>
      </c>
      <c r="Y196" s="188">
        <v>0</v>
      </c>
      <c r="Z196" s="113">
        <f t="shared" si="26"/>
        <v>0</v>
      </c>
      <c r="AA196" s="169">
        <v>0</v>
      </c>
      <c r="AB196" s="113">
        <f>ROUND(AA196*Valores!$C$2,2)</f>
        <v>0</v>
      </c>
      <c r="AC196" s="113">
        <f>ROUND(IF($F$4="NO",Valores!$C$33*B196,Valores!$C$33*B196/2),2)</f>
        <v>9351.11</v>
      </c>
      <c r="AD196" s="113">
        <f>SUM(F196,H196,J196,L196,M196,N196,O196,P196,Q196,S196,T196,U196,W196,X196,Z196,AB196,AC196)*Valores!$C$58</f>
        <v>16280.601000000002</v>
      </c>
      <c r="AE196" s="113">
        <f t="shared" si="27"/>
        <v>179086.611</v>
      </c>
      <c r="AF196" s="113">
        <f>IF(Valores!$C$13*B196&gt;Valores!$F$13,Valores!$F$13,Valores!$C$13*B196)</f>
        <v>14571.2</v>
      </c>
      <c r="AG196" s="113">
        <f>IF((Valores!$C$59/20*B196)&gt;Valores!$C$59,Valores!$C$59,Valores!$C$59/20*B196)</f>
        <v>7500</v>
      </c>
      <c r="AH196" s="113">
        <f t="shared" si="23"/>
        <v>22071.200000000001</v>
      </c>
      <c r="AI196" s="113">
        <f>AE196*Valores!$C$39</f>
        <v>-19699.52721</v>
      </c>
      <c r="AJ196" s="113">
        <f>IF(AE196&lt;Valores!$E$40,-0.02,IF(AE196&lt;Valores!$F$40,-0.03,-0.04))*AE196</f>
        <v>-3581.7322200000003</v>
      </c>
      <c r="AK196" s="113">
        <f>AE196*Valores!$C$42</f>
        <v>-9849.7636050000001</v>
      </c>
      <c r="AL196" s="113">
        <f>Valores!$C$56</f>
        <v>-1270.1600000000001</v>
      </c>
      <c r="AM196" s="113">
        <f>IF($F$5=0,Valores!$C$57,(Valores!$C$57+$F$5*(Valores!$C$57)))</f>
        <v>-7026</v>
      </c>
      <c r="AN196" s="113">
        <f t="shared" si="28"/>
        <v>159730.62796499999</v>
      </c>
      <c r="AO196" s="113">
        <f t="shared" si="22"/>
        <v>-19699.52721</v>
      </c>
      <c r="AP196" s="113">
        <f t="shared" si="29"/>
        <v>-3581.7322200000003</v>
      </c>
      <c r="AQ196" s="113">
        <f>AE196*Valores!$C$43</f>
        <v>-4835.3384969999997</v>
      </c>
      <c r="AR196" s="113">
        <f>AE196*Valores!$C$44</f>
        <v>-537.25983300000007</v>
      </c>
      <c r="AS196" s="113">
        <f t="shared" si="24"/>
        <v>172503.95324</v>
      </c>
      <c r="AT196" s="113">
        <f>AE196*Valores!$C$46</f>
        <v>28653.857760000003</v>
      </c>
      <c r="AU196" s="113">
        <f>AE196*Valores!$C$47</f>
        <v>12536.062770000002</v>
      </c>
      <c r="AV196" s="113">
        <f>AE196*Valores!$C$48</f>
        <v>1790.8661100000002</v>
      </c>
      <c r="AW196" s="113">
        <f>AE196*Valores!$C$50</f>
        <v>6268.0313850000011</v>
      </c>
      <c r="AX196" s="113">
        <f>AE196*Valores!$C$52</f>
        <v>9670.6769939999995</v>
      </c>
      <c r="AY196" s="113">
        <f>AE196*Valores!$C$51</f>
        <v>1074.5196660000001</v>
      </c>
      <c r="AZ196" s="114"/>
      <c r="BA196" s="114">
        <f t="shared" si="32"/>
        <v>6</v>
      </c>
      <c r="BB196" s="111" t="s">
        <v>4</v>
      </c>
    </row>
    <row r="197" spans="1:54" s="100" customFormat="1" ht="11.25" customHeight="1" x14ac:dyDescent="0.15">
      <c r="A197" s="111" t="s">
        <v>432</v>
      </c>
      <c r="B197" s="111">
        <v>7</v>
      </c>
      <c r="C197" s="114">
        <v>190</v>
      </c>
      <c r="D197" s="112" t="str">
        <f t="shared" si="31"/>
        <v>Hora Cátedra Enseñanza Superior 7 hs</v>
      </c>
      <c r="E197" s="169">
        <v>693</v>
      </c>
      <c r="F197" s="113">
        <f>ROUND(E197*Valores!$C$2,2)</f>
        <v>67779.56</v>
      </c>
      <c r="G197" s="169">
        <v>0</v>
      </c>
      <c r="H197" s="113">
        <f>ROUND(G197*Valores!$C$2,2)</f>
        <v>0</v>
      </c>
      <c r="I197" s="169">
        <v>0</v>
      </c>
      <c r="J197" s="113">
        <f>ROUND(I197*Valores!$C$2,2)</f>
        <v>0</v>
      </c>
      <c r="K197" s="169">
        <v>0</v>
      </c>
      <c r="L197" s="113">
        <f>ROUND(K197*Valores!$C$2,2)</f>
        <v>0</v>
      </c>
      <c r="M197" s="113">
        <f>ROUND(IF($H$2=0,IF(AND(A197&lt;&gt;"13-930",A197&lt;&gt;"13-940"),(SUM(F197,H197,J197,L197,W197,S197,Q197)*Valores!$C$4),0),0),2)</f>
        <v>21827.71</v>
      </c>
      <c r="N197" s="113">
        <f t="shared" si="25"/>
        <v>0</v>
      </c>
      <c r="O197" s="113">
        <f>Valores!C$65*B197</f>
        <v>46559.59</v>
      </c>
      <c r="P197" s="113">
        <f>ROUND(IF((Valores!$E$5*B197)&lt;=Valores!$F$5,Valores!$E$5*B197,Valores!$F$5),2)</f>
        <v>23332.61</v>
      </c>
      <c r="Q197" s="113">
        <f>IF($F$4="NO",Valores!$C$28*B197,Valores!$C$28*B197/2)</f>
        <v>12229.279999999999</v>
      </c>
      <c r="R197" s="113">
        <f>Valores!$C$7*B197</f>
        <v>7301.9800000000005</v>
      </c>
      <c r="S197" s="113">
        <f t="shared" si="30"/>
        <v>7301.98</v>
      </c>
      <c r="T197" s="113">
        <v>0</v>
      </c>
      <c r="U197" s="113">
        <v>0</v>
      </c>
      <c r="V197" s="169">
        <v>0</v>
      </c>
      <c r="W197" s="113">
        <f>ROUND(V197*Valores!$C$2,2)</f>
        <v>0</v>
      </c>
      <c r="X197" s="113">
        <v>0</v>
      </c>
      <c r="Y197" s="188">
        <v>0</v>
      </c>
      <c r="Z197" s="113">
        <f t="shared" si="26"/>
        <v>0</v>
      </c>
      <c r="AA197" s="169">
        <v>0</v>
      </c>
      <c r="AB197" s="113">
        <f>ROUND(AA197*Valores!$C$2,2)</f>
        <v>0</v>
      </c>
      <c r="AC197" s="113">
        <f>ROUND(IF($F$4="NO",Valores!$C$33*B197,Valores!$C$33*B197/2),2)</f>
        <v>10909.63</v>
      </c>
      <c r="AD197" s="113">
        <f>SUM(F197,H197,J197,L197,M197,N197,O197,P197,Q197,S197,T197,U197,W197,X197,Z197,AB197,AC197)*Valores!$C$58</f>
        <v>18994.036</v>
      </c>
      <c r="AE197" s="113">
        <f t="shared" si="27"/>
        <v>208934.39599999998</v>
      </c>
      <c r="AF197" s="113">
        <f>IF(Valores!$C$13*B197&gt;Valores!$F$13,Valores!$F$13,Valores!$C$13*B197)</f>
        <v>16999.733333333334</v>
      </c>
      <c r="AG197" s="113">
        <f>IF((Valores!$C$59/20*B197)&gt;Valores!$C$59,Valores!$C$59,Valores!$C$59/20*B197)</f>
        <v>8750</v>
      </c>
      <c r="AH197" s="113">
        <f t="shared" si="23"/>
        <v>25749.733333333334</v>
      </c>
      <c r="AI197" s="113">
        <f>AE197*Valores!$C$39</f>
        <v>-22982.783559999996</v>
      </c>
      <c r="AJ197" s="113">
        <f>IF(AE197&lt;Valores!$E$40,-0.02,IF(AE197&lt;Valores!$F$40,-0.03,-0.04))*AE197</f>
        <v>-4178.6879199999994</v>
      </c>
      <c r="AK197" s="113">
        <f>AE197*Valores!$C$42</f>
        <v>-11491.391779999998</v>
      </c>
      <c r="AL197" s="113">
        <f>Valores!$C$56</f>
        <v>-1270.1600000000001</v>
      </c>
      <c r="AM197" s="113">
        <f>IF($F$5=0,Valores!$C$57,(Valores!$C$57+$F$5*(Valores!$C$57)))</f>
        <v>-7026</v>
      </c>
      <c r="AN197" s="113">
        <f t="shared" si="28"/>
        <v>187735.10607333333</v>
      </c>
      <c r="AO197" s="113">
        <f t="shared" ref="AO197:AO260" si="33">AI197</f>
        <v>-22982.783559999996</v>
      </c>
      <c r="AP197" s="113">
        <f t="shared" si="29"/>
        <v>-4178.6879199999994</v>
      </c>
      <c r="AQ197" s="113">
        <f>AE197*Valores!$C$43</f>
        <v>-5641.2286919999997</v>
      </c>
      <c r="AR197" s="113">
        <f>AE197*Valores!$C$44</f>
        <v>-626.80318799999998</v>
      </c>
      <c r="AS197" s="113">
        <f t="shared" si="24"/>
        <v>201254.62597333331</v>
      </c>
      <c r="AT197" s="113">
        <f>AE197*Valores!$C$46</f>
        <v>33429.503359999995</v>
      </c>
      <c r="AU197" s="113">
        <f>AE197*Valores!$C$47</f>
        <v>14625.407719999999</v>
      </c>
      <c r="AV197" s="113">
        <f>AE197*Valores!$C$48</f>
        <v>2089.3439599999997</v>
      </c>
      <c r="AW197" s="113">
        <f>AE197*Valores!$C$50</f>
        <v>7312.7038599999996</v>
      </c>
      <c r="AX197" s="113">
        <f>AE197*Valores!$C$52</f>
        <v>11282.457383999999</v>
      </c>
      <c r="AY197" s="113">
        <f>AE197*Valores!$C$51</f>
        <v>1253.606376</v>
      </c>
      <c r="AZ197" s="114"/>
      <c r="BA197" s="114">
        <f t="shared" si="32"/>
        <v>7</v>
      </c>
      <c r="BB197" s="111" t="s">
        <v>4</v>
      </c>
    </row>
    <row r="198" spans="1:54" s="100" customFormat="1" ht="11.25" customHeight="1" x14ac:dyDescent="0.15">
      <c r="A198" s="111" t="s">
        <v>432</v>
      </c>
      <c r="B198" s="111">
        <v>8</v>
      </c>
      <c r="C198" s="114">
        <v>191</v>
      </c>
      <c r="D198" s="112" t="str">
        <f t="shared" si="31"/>
        <v>Hora Cátedra Enseñanza Superior 8 hs</v>
      </c>
      <c r="E198" s="169">
        <v>792</v>
      </c>
      <c r="F198" s="113">
        <f>ROUND(E198*Valores!$C$2,2)</f>
        <v>77462.350000000006</v>
      </c>
      <c r="G198" s="169">
        <v>0</v>
      </c>
      <c r="H198" s="113">
        <f>ROUND(G198*Valores!$C$2,2)</f>
        <v>0</v>
      </c>
      <c r="I198" s="169">
        <v>0</v>
      </c>
      <c r="J198" s="113">
        <f>ROUND(I198*Valores!$C$2,2)</f>
        <v>0</v>
      </c>
      <c r="K198" s="169">
        <v>0</v>
      </c>
      <c r="L198" s="113">
        <f>ROUND(K198*Valores!$C$2,2)</f>
        <v>0</v>
      </c>
      <c r="M198" s="113">
        <f>ROUND(IF($H$2=0,IF(AND(A198&lt;&gt;"13-930",A198&lt;&gt;"13-940"),(SUM(F198,H198,J198,L198,W198,S198,Q198)*Valores!$C$4),0),0),2)</f>
        <v>24945.95</v>
      </c>
      <c r="N198" s="113">
        <f t="shared" si="25"/>
        <v>0</v>
      </c>
      <c r="O198" s="113">
        <f>Valores!C$65*B198</f>
        <v>53210.96</v>
      </c>
      <c r="P198" s="113">
        <f>ROUND(IF((Valores!$E$5*B198)&lt;=Valores!$F$5,Valores!$E$5*B198,Valores!$F$5),2)</f>
        <v>26665.84</v>
      </c>
      <c r="Q198" s="113">
        <f>IF($F$4="NO",Valores!$C$28*B198,Valores!$C$28*B198/2)</f>
        <v>13976.32</v>
      </c>
      <c r="R198" s="113">
        <f>Valores!$C$7*B198</f>
        <v>8345.1200000000008</v>
      </c>
      <c r="S198" s="113">
        <f t="shared" si="30"/>
        <v>8345.1200000000008</v>
      </c>
      <c r="T198" s="113">
        <v>0</v>
      </c>
      <c r="U198" s="113">
        <v>0</v>
      </c>
      <c r="V198" s="169">
        <v>0</v>
      </c>
      <c r="W198" s="113">
        <f>ROUND(V198*Valores!$C$2,2)</f>
        <v>0</v>
      </c>
      <c r="X198" s="113">
        <v>0</v>
      </c>
      <c r="Y198" s="188">
        <v>0</v>
      </c>
      <c r="Z198" s="113">
        <f t="shared" si="26"/>
        <v>0</v>
      </c>
      <c r="AA198" s="169">
        <v>0</v>
      </c>
      <c r="AB198" s="113">
        <f>ROUND(AA198*Valores!$C$2,2)</f>
        <v>0</v>
      </c>
      <c r="AC198" s="113">
        <f>ROUND(IF($F$4="NO",Valores!$C$33*B198,Valores!$C$33*B198/2),2)</f>
        <v>12468.14</v>
      </c>
      <c r="AD198" s="113">
        <f>SUM(F198,H198,J198,L198,M198,N198,O198,P198,Q198,S198,T198,U198,W198,X198,Z198,AB198,AC198)*Valores!$C$58</f>
        <v>21707.468000000001</v>
      </c>
      <c r="AE198" s="113">
        <f t="shared" si="27"/>
        <v>238782.14799999999</v>
      </c>
      <c r="AF198" s="113">
        <f>IF(Valores!$C$13*B198&gt;Valores!$F$13,Valores!$F$13,Valores!$C$13*B198)</f>
        <v>19428.266666666666</v>
      </c>
      <c r="AG198" s="113">
        <f>IF((Valores!$C$59/20*B198)&gt;Valores!$C$59,Valores!$C$59,Valores!$C$59/20*B198)</f>
        <v>10000</v>
      </c>
      <c r="AH198" s="113">
        <f t="shared" si="23"/>
        <v>29428.266666666666</v>
      </c>
      <c r="AI198" s="113">
        <f>AE198*Valores!$C$39</f>
        <v>-26266.03628</v>
      </c>
      <c r="AJ198" s="113">
        <f>IF(AE198&lt;Valores!$E$40,-0.02,IF(AE198&lt;Valores!$F$40,-0.03,-0.04))*AE198</f>
        <v>-4775.6429600000001</v>
      </c>
      <c r="AK198" s="113">
        <f>AE198*Valores!$C$42</f>
        <v>-13133.01814</v>
      </c>
      <c r="AL198" s="113">
        <f>Valores!$C$56</f>
        <v>-1270.1600000000001</v>
      </c>
      <c r="AM198" s="113">
        <f>IF($F$5=0,Valores!$C$57,(Valores!$C$57+$F$5*(Valores!$C$57)))</f>
        <v>-7026</v>
      </c>
      <c r="AN198" s="113">
        <f t="shared" si="28"/>
        <v>215739.55728666665</v>
      </c>
      <c r="AO198" s="113">
        <f t="shared" si="33"/>
        <v>-26266.03628</v>
      </c>
      <c r="AP198" s="113">
        <f t="shared" si="29"/>
        <v>-4775.6429600000001</v>
      </c>
      <c r="AQ198" s="113">
        <f>AE198*Valores!$C$43</f>
        <v>-6447.1179959999999</v>
      </c>
      <c r="AR198" s="113">
        <f>AE198*Valores!$C$44</f>
        <v>-716.34644400000002</v>
      </c>
      <c r="AS198" s="113">
        <f t="shared" si="24"/>
        <v>230005.27098666664</v>
      </c>
      <c r="AT198" s="113">
        <f>AE198*Valores!$C$46</f>
        <v>38205.143680000001</v>
      </c>
      <c r="AU198" s="113">
        <f>AE198*Valores!$C$47</f>
        <v>16714.750360000002</v>
      </c>
      <c r="AV198" s="113">
        <f>AE198*Valores!$C$48</f>
        <v>2387.8214800000001</v>
      </c>
      <c r="AW198" s="113">
        <f>AE198*Valores!$C$50</f>
        <v>8357.3751800000009</v>
      </c>
      <c r="AX198" s="113">
        <f>AE198*Valores!$C$52</f>
        <v>12894.235992</v>
      </c>
      <c r="AY198" s="113">
        <f>AE198*Valores!$C$51</f>
        <v>1432.692888</v>
      </c>
      <c r="AZ198" s="114"/>
      <c r="BA198" s="114">
        <f t="shared" si="32"/>
        <v>8</v>
      </c>
      <c r="BB198" s="111" t="s">
        <v>4</v>
      </c>
    </row>
    <row r="199" spans="1:54" s="100" customFormat="1" ht="11.25" customHeight="1" x14ac:dyDescent="0.15">
      <c r="A199" s="111" t="s">
        <v>432</v>
      </c>
      <c r="B199" s="111">
        <v>9</v>
      </c>
      <c r="C199" s="114">
        <v>192</v>
      </c>
      <c r="D199" s="112" t="str">
        <f t="shared" si="31"/>
        <v>Hora Cátedra Enseñanza Superior 9 hs</v>
      </c>
      <c r="E199" s="169">
        <v>891</v>
      </c>
      <c r="F199" s="113">
        <f>ROUND(E199*Valores!$C$2,2)</f>
        <v>87145.15</v>
      </c>
      <c r="G199" s="169">
        <v>0</v>
      </c>
      <c r="H199" s="113">
        <f>ROUND(G199*Valores!$C$2,2)</f>
        <v>0</v>
      </c>
      <c r="I199" s="169">
        <v>0</v>
      </c>
      <c r="J199" s="113">
        <f>ROUND(I199*Valores!$C$2,2)</f>
        <v>0</v>
      </c>
      <c r="K199" s="169">
        <v>0</v>
      </c>
      <c r="L199" s="113">
        <f>ROUND(K199*Valores!$C$2,2)</f>
        <v>0</v>
      </c>
      <c r="M199" s="113">
        <f>ROUND(IF($H$2=0,IF(AND(A199&lt;&gt;"13-930",A199&lt;&gt;"13-940"),(SUM(F199,H199,J199,L199,W199,S199,Q199)*Valores!$C$4),0),0),2)</f>
        <v>28064.19</v>
      </c>
      <c r="N199" s="113">
        <f t="shared" si="25"/>
        <v>0</v>
      </c>
      <c r="O199" s="113">
        <f>Valores!C$65*B199</f>
        <v>59862.33</v>
      </c>
      <c r="P199" s="113">
        <f>ROUND(IF((Valores!$E$5*B199)&lt;=Valores!$F$5,Valores!$E$5*B199,Valores!$F$5),2)</f>
        <v>29999.07</v>
      </c>
      <c r="Q199" s="113">
        <f>IF($F$4="NO",Valores!$C$28*B199,Valores!$C$28*B199/2)</f>
        <v>15723.36</v>
      </c>
      <c r="R199" s="113">
        <f>Valores!$C$7*B199</f>
        <v>9388.26</v>
      </c>
      <c r="S199" s="113">
        <f t="shared" si="30"/>
        <v>9388.26</v>
      </c>
      <c r="T199" s="113">
        <v>0</v>
      </c>
      <c r="U199" s="113">
        <v>0</v>
      </c>
      <c r="V199" s="169">
        <v>0</v>
      </c>
      <c r="W199" s="113">
        <f>ROUND(V199*Valores!$C$2,2)</f>
        <v>0</v>
      </c>
      <c r="X199" s="113">
        <v>0</v>
      </c>
      <c r="Y199" s="188">
        <v>0</v>
      </c>
      <c r="Z199" s="113">
        <f t="shared" si="26"/>
        <v>0</v>
      </c>
      <c r="AA199" s="169">
        <v>0</v>
      </c>
      <c r="AB199" s="113">
        <f>ROUND(AA199*Valores!$C$2,2)</f>
        <v>0</v>
      </c>
      <c r="AC199" s="113">
        <f>ROUND(IF($F$4="NO",Valores!$C$33*B199,Valores!$C$33*B199/2),2)</f>
        <v>14026.66</v>
      </c>
      <c r="AD199" s="113">
        <f>SUM(F199,H199,J199,L199,M199,N199,O199,P199,Q199,S199,T199,U199,W199,X199,Z199,AB199,AC199)*Valores!$C$58</f>
        <v>24420.902000000002</v>
      </c>
      <c r="AE199" s="113">
        <f t="shared" si="27"/>
        <v>268629.92200000002</v>
      </c>
      <c r="AF199" s="113">
        <f>IF(Valores!$C$13*B199&gt;Valores!$F$13,Valores!$F$13,Valores!$C$13*B199)</f>
        <v>21856.799999999999</v>
      </c>
      <c r="AG199" s="113">
        <f>IF((Valores!$C$59/20*B199)&gt;Valores!$C$59,Valores!$C$59,Valores!$C$59/20*B199)</f>
        <v>11250</v>
      </c>
      <c r="AH199" s="113">
        <f t="shared" si="23"/>
        <v>33106.800000000003</v>
      </c>
      <c r="AI199" s="113">
        <f>AE199*Valores!$C$39</f>
        <v>-29549.291420000001</v>
      </c>
      <c r="AJ199" s="113">
        <f>IF(AE199&lt;Valores!$E$40,-0.02,IF(AE199&lt;Valores!$F$40,-0.03,-0.04))*AE199</f>
        <v>-5372.5984400000007</v>
      </c>
      <c r="AK199" s="113">
        <f>AE199*Valores!$C$42</f>
        <v>-14774.645710000001</v>
      </c>
      <c r="AL199" s="113">
        <f>Valores!$C$56</f>
        <v>-1270.1600000000001</v>
      </c>
      <c r="AM199" s="113">
        <f>IF($F$5=0,Valores!$C$57,(Valores!$C$57+$F$5*(Valores!$C$57)))</f>
        <v>-7026</v>
      </c>
      <c r="AN199" s="113">
        <f t="shared" si="28"/>
        <v>243744.02643000003</v>
      </c>
      <c r="AO199" s="113">
        <f t="shared" si="33"/>
        <v>-29549.291420000001</v>
      </c>
      <c r="AP199" s="113">
        <f t="shared" si="29"/>
        <v>-5372.5984400000007</v>
      </c>
      <c r="AQ199" s="113">
        <f>AE199*Valores!$C$43</f>
        <v>-7253.0078940000003</v>
      </c>
      <c r="AR199" s="113">
        <f>AE199*Valores!$C$44</f>
        <v>-805.88976600000012</v>
      </c>
      <c r="AS199" s="113">
        <f t="shared" si="24"/>
        <v>258755.93448</v>
      </c>
      <c r="AT199" s="113">
        <f>AE199*Valores!$C$46</f>
        <v>42980.787520000005</v>
      </c>
      <c r="AU199" s="113">
        <f>AE199*Valores!$C$47</f>
        <v>18804.094540000002</v>
      </c>
      <c r="AV199" s="113">
        <f>AE199*Valores!$C$48</f>
        <v>2686.2992200000003</v>
      </c>
      <c r="AW199" s="113">
        <f>AE199*Valores!$C$50</f>
        <v>9402.0472700000009</v>
      </c>
      <c r="AX199" s="113">
        <f>AE199*Valores!$C$52</f>
        <v>14506.015788000001</v>
      </c>
      <c r="AY199" s="113">
        <f>AE199*Valores!$C$51</f>
        <v>1611.7795320000002</v>
      </c>
      <c r="AZ199" s="114"/>
      <c r="BA199" s="114">
        <f t="shared" si="32"/>
        <v>9</v>
      </c>
      <c r="BB199" s="111" t="s">
        <v>4</v>
      </c>
    </row>
    <row r="200" spans="1:54" s="100" customFormat="1" ht="11.25" customHeight="1" x14ac:dyDescent="0.15">
      <c r="A200" s="111" t="s">
        <v>432</v>
      </c>
      <c r="B200" s="111">
        <v>10</v>
      </c>
      <c r="C200" s="114">
        <v>193</v>
      </c>
      <c r="D200" s="112" t="str">
        <f t="shared" si="31"/>
        <v>Hora Cátedra Enseñanza Superior 10 hs</v>
      </c>
      <c r="E200" s="169">
        <v>990</v>
      </c>
      <c r="F200" s="113">
        <f>ROUND(E200*Valores!$C$2,2)</f>
        <v>96827.94</v>
      </c>
      <c r="G200" s="169">
        <v>0</v>
      </c>
      <c r="H200" s="113">
        <f>ROUND(G200*Valores!$C$2,2)</f>
        <v>0</v>
      </c>
      <c r="I200" s="169">
        <v>0</v>
      </c>
      <c r="J200" s="113">
        <f>ROUND(I200*Valores!$C$2,2)</f>
        <v>0</v>
      </c>
      <c r="K200" s="169">
        <v>0</v>
      </c>
      <c r="L200" s="113">
        <f>ROUND(K200*Valores!$C$2,2)</f>
        <v>0</v>
      </c>
      <c r="M200" s="113">
        <f>ROUND(IF($H$2=0,IF(AND(A200&lt;&gt;"13-930",A200&lt;&gt;"13-940"),(SUM(F200,H200,J200,L200,W200,S200,Q200)*Valores!$C$4),0),0),2)</f>
        <v>31182.44</v>
      </c>
      <c r="N200" s="113">
        <f t="shared" si="25"/>
        <v>0</v>
      </c>
      <c r="O200" s="113">
        <f>Valores!C$65*B200</f>
        <v>66513.7</v>
      </c>
      <c r="P200" s="113">
        <f>ROUND(IF((Valores!$E$5*B200)&lt;=Valores!$F$5,Valores!$E$5*B200,Valores!$F$5),2)</f>
        <v>33332.300000000003</v>
      </c>
      <c r="Q200" s="113">
        <f>IF($F$4="NO",Valores!$C$28*B200,Valores!$C$28*B200/2)</f>
        <v>17470.400000000001</v>
      </c>
      <c r="R200" s="113">
        <f>Valores!$C$7*B200</f>
        <v>10431.400000000001</v>
      </c>
      <c r="S200" s="113">
        <f t="shared" si="30"/>
        <v>10431.4</v>
      </c>
      <c r="T200" s="113">
        <v>0</v>
      </c>
      <c r="U200" s="113">
        <v>0</v>
      </c>
      <c r="V200" s="169">
        <v>0</v>
      </c>
      <c r="W200" s="113">
        <f>ROUND(V200*Valores!$C$2,2)</f>
        <v>0</v>
      </c>
      <c r="X200" s="113">
        <v>0</v>
      </c>
      <c r="Y200" s="188">
        <v>0</v>
      </c>
      <c r="Z200" s="113">
        <f t="shared" si="26"/>
        <v>0</v>
      </c>
      <c r="AA200" s="169">
        <v>0</v>
      </c>
      <c r="AB200" s="113">
        <f>ROUND(AA200*Valores!$C$2,2)</f>
        <v>0</v>
      </c>
      <c r="AC200" s="113">
        <f>ROUND(IF($F$4="NO",Valores!$C$33*B200,Valores!$C$33*B200/2),2)</f>
        <v>15585.18</v>
      </c>
      <c r="AD200" s="113">
        <f>SUM(F200,H200,J200,L200,M200,N200,O200,P200,Q200,S200,T200,U200,W200,X200,Z200,AB200,AC200)*Valores!$C$58</f>
        <v>27134.335999999999</v>
      </c>
      <c r="AE200" s="113">
        <f t="shared" si="27"/>
        <v>298477.696</v>
      </c>
      <c r="AF200" s="113">
        <f>IF(Valores!$C$13*B200&gt;Valores!$F$13,Valores!$F$13,Valores!$C$13*B200)</f>
        <v>24285.333333333332</v>
      </c>
      <c r="AG200" s="113">
        <f>IF((Valores!$C$59/20*B200)&gt;Valores!$C$59,Valores!$C$59,Valores!$C$59/20*B200)</f>
        <v>12500</v>
      </c>
      <c r="AH200" s="113">
        <f t="shared" ref="AH200:AH263" si="34">SUM(AF200:AG200)</f>
        <v>36785.333333333328</v>
      </c>
      <c r="AI200" s="113">
        <f>AE200*Valores!$C$39</f>
        <v>-32832.546560000003</v>
      </c>
      <c r="AJ200" s="113">
        <f>IF(AE200&lt;Valores!$E$40,-0.02,IF(AE200&lt;Valores!$F$40,-0.03,-0.04))*AE200</f>
        <v>-5969.5539200000003</v>
      </c>
      <c r="AK200" s="113">
        <f>AE200*Valores!$C$42</f>
        <v>-16416.273280000001</v>
      </c>
      <c r="AL200" s="113">
        <f>Valores!$C$56</f>
        <v>-1270.1600000000001</v>
      </c>
      <c r="AM200" s="113">
        <f>IF($F$5=0,Valores!$C$57,(Valores!$C$57+$F$5*(Valores!$C$57)))</f>
        <v>-7026</v>
      </c>
      <c r="AN200" s="113">
        <f t="shared" si="28"/>
        <v>271748.49557333335</v>
      </c>
      <c r="AO200" s="113">
        <f t="shared" si="33"/>
        <v>-32832.546560000003</v>
      </c>
      <c r="AP200" s="113">
        <f t="shared" si="29"/>
        <v>-5969.5539200000003</v>
      </c>
      <c r="AQ200" s="113">
        <f>AE200*Valores!$C$43</f>
        <v>-8058.8977919999998</v>
      </c>
      <c r="AR200" s="113">
        <f>AE200*Valores!$C$44</f>
        <v>-895.433088</v>
      </c>
      <c r="AS200" s="113">
        <f t="shared" ref="AS200:AS263" si="35">AE200+AH200+SUM(AO200:AR200)</f>
        <v>287506.59797333332</v>
      </c>
      <c r="AT200" s="113">
        <f>AE200*Valores!$C$46</f>
        <v>47756.431360000002</v>
      </c>
      <c r="AU200" s="113">
        <f>AE200*Valores!$C$47</f>
        <v>20893.438720000002</v>
      </c>
      <c r="AV200" s="113">
        <f>AE200*Valores!$C$48</f>
        <v>2984.7769600000001</v>
      </c>
      <c r="AW200" s="113">
        <f>AE200*Valores!$C$50</f>
        <v>10446.719360000001</v>
      </c>
      <c r="AX200" s="113">
        <f>AE200*Valores!$C$52</f>
        <v>16117.795584</v>
      </c>
      <c r="AY200" s="113">
        <f>AE200*Valores!$C$51</f>
        <v>1790.866176</v>
      </c>
      <c r="AZ200" s="114"/>
      <c r="BA200" s="114">
        <f t="shared" si="32"/>
        <v>10</v>
      </c>
      <c r="BB200" s="111" t="s">
        <v>4</v>
      </c>
    </row>
    <row r="201" spans="1:54" s="100" customFormat="1" ht="11.25" customHeight="1" x14ac:dyDescent="0.15">
      <c r="A201" s="111" t="s">
        <v>432</v>
      </c>
      <c r="B201" s="111">
        <v>11</v>
      </c>
      <c r="C201" s="114">
        <v>194</v>
      </c>
      <c r="D201" s="112" t="str">
        <f t="shared" si="31"/>
        <v>Hora Cátedra Enseñanza Superior 11 hs</v>
      </c>
      <c r="E201" s="169">
        <v>1089</v>
      </c>
      <c r="F201" s="113">
        <f>ROUND(E201*Valores!$C$2,2)</f>
        <v>106510.73</v>
      </c>
      <c r="G201" s="169">
        <v>0</v>
      </c>
      <c r="H201" s="113">
        <f>ROUND(G201*Valores!$C$2,2)</f>
        <v>0</v>
      </c>
      <c r="I201" s="169">
        <v>0</v>
      </c>
      <c r="J201" s="113">
        <f>ROUND(I201*Valores!$C$2,2)</f>
        <v>0</v>
      </c>
      <c r="K201" s="169">
        <v>0</v>
      </c>
      <c r="L201" s="113">
        <f>ROUND(K201*Valores!$C$2,2)</f>
        <v>0</v>
      </c>
      <c r="M201" s="113">
        <f>ROUND(IF($H$2=0,IF(AND(A201&lt;&gt;"13-930",A201&lt;&gt;"13-940"),(SUM(F201,H201,J201,L201,W201,S201,Q201)*Valores!$C$4),0),0),2)</f>
        <v>34300.68</v>
      </c>
      <c r="N201" s="113">
        <f t="shared" ref="N201:N264" si="36">ROUND(SUM(F201,H201,J201,L201,W201,Q201)*$H$2,2)</f>
        <v>0</v>
      </c>
      <c r="O201" s="113">
        <f>Valores!C$65*B201</f>
        <v>73165.069999999992</v>
      </c>
      <c r="P201" s="113">
        <f>ROUND(IF((Valores!$E$5*B201)&lt;=Valores!$F$5,Valores!$E$5*B201,Valores!$F$5),2)</f>
        <v>36665.53</v>
      </c>
      <c r="Q201" s="113">
        <f>IF($F$4="NO",Valores!$C$28*B201,Valores!$C$28*B201/2)</f>
        <v>19217.439999999999</v>
      </c>
      <c r="R201" s="113">
        <f>Valores!$C$7*B201</f>
        <v>11474.54</v>
      </c>
      <c r="S201" s="113">
        <f t="shared" si="30"/>
        <v>11474.54</v>
      </c>
      <c r="T201" s="113">
        <v>0</v>
      </c>
      <c r="U201" s="113">
        <v>0</v>
      </c>
      <c r="V201" s="169">
        <v>0</v>
      </c>
      <c r="W201" s="113">
        <f>ROUND(V201*Valores!$C$2,2)</f>
        <v>0</v>
      </c>
      <c r="X201" s="113">
        <v>0</v>
      </c>
      <c r="Y201" s="188">
        <v>0</v>
      </c>
      <c r="Z201" s="113">
        <f t="shared" ref="Z201:Z264" si="37">ROUND(SUM(F201,H201,J201,W201,Q201)*Y201,2)</f>
        <v>0</v>
      </c>
      <c r="AA201" s="169">
        <v>0</v>
      </c>
      <c r="AB201" s="113">
        <f>ROUND(AA201*Valores!$C$2,2)</f>
        <v>0</v>
      </c>
      <c r="AC201" s="113">
        <f>ROUND(IF($F$4="NO",Valores!$C$33*B201,Valores!$C$33*B201/2),2)</f>
        <v>17143.7</v>
      </c>
      <c r="AD201" s="113">
        <f>SUM(F201,H201,J201,L201,M201,N201,O201,P201,Q201,S201,T201,U201,W201,X201,Z201,AB201,AC201)*Valores!$C$58</f>
        <v>29847.768999999997</v>
      </c>
      <c r="AE201" s="113">
        <f t="shared" ref="AE201:AE264" si="38">SUM(F201,H201,J201,L201,M201,N201,O201,P201,Q201,S201,T201,U201,W201,X201,Z201,AB201,AC201,AD201)</f>
        <v>328325.45899999992</v>
      </c>
      <c r="AF201" s="113">
        <f>IF(Valores!$C$13*B201&gt;Valores!$F$13,Valores!$F$13,Valores!$C$13*B201)</f>
        <v>26713.866666666665</v>
      </c>
      <c r="AG201" s="113">
        <f>IF((Valores!$C$59/20*B201)&gt;Valores!$C$59,Valores!$C$59,Valores!$C$59/20*B201)</f>
        <v>13750</v>
      </c>
      <c r="AH201" s="113">
        <f t="shared" si="34"/>
        <v>40463.866666666669</v>
      </c>
      <c r="AI201" s="113">
        <f>AE201*Valores!$C$39</f>
        <v>-36115.800489999994</v>
      </c>
      <c r="AJ201" s="113">
        <f>IF(AE201&lt;Valores!$E$40,-0.02,IF(AE201&lt;Valores!$F$40,-0.03,-0.04))*AE201</f>
        <v>-6566.5091799999982</v>
      </c>
      <c r="AK201" s="113">
        <f>AE201*Valores!$C$42</f>
        <v>-18057.900244999997</v>
      </c>
      <c r="AL201" s="113">
        <f>Valores!$C$56</f>
        <v>-1270.1600000000001</v>
      </c>
      <c r="AM201" s="113">
        <f>IF($F$5=0,Valores!$C$57,(Valores!$C$57+$F$5*(Valores!$C$57)))</f>
        <v>-7026</v>
      </c>
      <c r="AN201" s="113">
        <f t="shared" ref="AN201:AN264" si="39">AE201+SUM(AH201:AM201)</f>
        <v>299752.95575166657</v>
      </c>
      <c r="AO201" s="113">
        <f t="shared" si="33"/>
        <v>-36115.800489999994</v>
      </c>
      <c r="AP201" s="113">
        <f t="shared" ref="AP201:AP264" si="40">AJ201</f>
        <v>-6566.5091799999982</v>
      </c>
      <c r="AQ201" s="113">
        <f>AE201*Valores!$C$43</f>
        <v>-8864.7873929999969</v>
      </c>
      <c r="AR201" s="113">
        <f>AE201*Valores!$C$44</f>
        <v>-984.97637699999973</v>
      </c>
      <c r="AS201" s="113">
        <f t="shared" si="35"/>
        <v>316257.25222666661</v>
      </c>
      <c r="AT201" s="113">
        <f>AE201*Valores!$C$46</f>
        <v>52532.073439999986</v>
      </c>
      <c r="AU201" s="113">
        <f>AE201*Valores!$C$47</f>
        <v>22982.782129999996</v>
      </c>
      <c r="AV201" s="113">
        <f>AE201*Valores!$C$48</f>
        <v>3283.2545899999991</v>
      </c>
      <c r="AW201" s="113">
        <f>AE201*Valores!$C$50</f>
        <v>11491.391064999998</v>
      </c>
      <c r="AX201" s="113">
        <f>AE201*Valores!$C$52</f>
        <v>17729.574785999994</v>
      </c>
      <c r="AY201" s="113">
        <f>AE201*Valores!$C$51</f>
        <v>1969.9527539999995</v>
      </c>
      <c r="AZ201" s="114"/>
      <c r="BA201" s="114">
        <f t="shared" si="32"/>
        <v>11</v>
      </c>
      <c r="BB201" s="111" t="s">
        <v>4</v>
      </c>
    </row>
    <row r="202" spans="1:54" s="100" customFormat="1" ht="11.25" customHeight="1" x14ac:dyDescent="0.15">
      <c r="A202" s="111" t="s">
        <v>432</v>
      </c>
      <c r="B202" s="111">
        <v>12</v>
      </c>
      <c r="C202" s="114">
        <v>195</v>
      </c>
      <c r="D202" s="112" t="str">
        <f t="shared" si="31"/>
        <v>Hora Cátedra Enseñanza Superior 12 hs</v>
      </c>
      <c r="E202" s="169">
        <v>1188</v>
      </c>
      <c r="F202" s="113">
        <f>ROUND(E202*Valores!$C$2,2)</f>
        <v>116193.53</v>
      </c>
      <c r="G202" s="169">
        <v>0</v>
      </c>
      <c r="H202" s="113">
        <f>ROUND(G202*Valores!$C$2,2)</f>
        <v>0</v>
      </c>
      <c r="I202" s="169">
        <v>0</v>
      </c>
      <c r="J202" s="113">
        <f>ROUND(I202*Valores!$C$2,2)</f>
        <v>0</v>
      </c>
      <c r="K202" s="169">
        <v>0</v>
      </c>
      <c r="L202" s="113">
        <f>ROUND(K202*Valores!$C$2,2)</f>
        <v>0</v>
      </c>
      <c r="M202" s="113">
        <f>ROUND(IF($H$2=0,IF(AND(A202&lt;&gt;"13-930",A202&lt;&gt;"13-940"),(SUM(F202,H202,J202,L202,W202,S202,Q202)*Valores!$C$4),0),0),2)</f>
        <v>37418.92</v>
      </c>
      <c r="N202" s="113">
        <f t="shared" si="36"/>
        <v>0</v>
      </c>
      <c r="O202" s="113">
        <f>Valores!C$65*B202</f>
        <v>79816.44</v>
      </c>
      <c r="P202" s="113">
        <f>ROUND(IF((Valores!$E$5*B202)&lt;=Valores!$F$5,Valores!$E$5*B202,Valores!$F$5),2)</f>
        <v>39998.76</v>
      </c>
      <c r="Q202" s="113">
        <f>IF($F$4="NO",Valores!$C$28*B202,Valores!$C$28*B202/2)</f>
        <v>20964.48</v>
      </c>
      <c r="R202" s="113">
        <f>Valores!$C$7*B202</f>
        <v>12517.68</v>
      </c>
      <c r="S202" s="113">
        <f t="shared" si="30"/>
        <v>12517.68</v>
      </c>
      <c r="T202" s="113">
        <v>0</v>
      </c>
      <c r="U202" s="113">
        <v>0</v>
      </c>
      <c r="V202" s="169">
        <v>0</v>
      </c>
      <c r="W202" s="113">
        <f>ROUND(V202*Valores!$C$2,2)</f>
        <v>0</v>
      </c>
      <c r="X202" s="113">
        <v>0</v>
      </c>
      <c r="Y202" s="188">
        <v>0</v>
      </c>
      <c r="Z202" s="113">
        <f t="shared" si="37"/>
        <v>0</v>
      </c>
      <c r="AA202" s="169">
        <v>0</v>
      </c>
      <c r="AB202" s="113">
        <f>ROUND(AA202*Valores!$C$2,2)</f>
        <v>0</v>
      </c>
      <c r="AC202" s="113">
        <f>ROUND(IF($F$4="NO",Valores!$C$33*B202,Valores!$C$33*B202/2),2)</f>
        <v>18702.22</v>
      </c>
      <c r="AD202" s="113">
        <f>SUM(F202,H202,J202,L202,M202,N202,O202,P202,Q202,S202,T202,U202,W202,X202,Z202,AB202,AC202)*Valores!$C$58</f>
        <v>32561.203000000005</v>
      </c>
      <c r="AE202" s="113">
        <f t="shared" si="38"/>
        <v>358173.23300000001</v>
      </c>
      <c r="AF202" s="113">
        <f>IF(Valores!$C$13*B202&gt;Valores!$F$13,Valores!$F$13,Valores!$C$13*B202)</f>
        <v>29142.400000000001</v>
      </c>
      <c r="AG202" s="113">
        <f>IF((Valores!$C$59/20*B202)&gt;Valores!$C$59,Valores!$C$59,Valores!$C$59/20*B202)</f>
        <v>15000</v>
      </c>
      <c r="AH202" s="113">
        <f t="shared" si="34"/>
        <v>44142.400000000001</v>
      </c>
      <c r="AI202" s="113">
        <f>AE202*Valores!$C$39</f>
        <v>-39399.055630000003</v>
      </c>
      <c r="AJ202" s="113">
        <f>IF(AE202&lt;Valores!$E$40,-0.02,IF(AE202&lt;Valores!$F$40,-0.03,-0.04))*AE202</f>
        <v>-7163.4646600000005</v>
      </c>
      <c r="AK202" s="113">
        <f>AE202*Valores!$C$42</f>
        <v>-19699.527815000001</v>
      </c>
      <c r="AL202" s="113">
        <f>Valores!$C$56</f>
        <v>-1270.1600000000001</v>
      </c>
      <c r="AM202" s="113">
        <f>IF($F$5=0,Valores!$C$57,(Valores!$C$57+$F$5*(Valores!$C$57)))</f>
        <v>-7026</v>
      </c>
      <c r="AN202" s="113">
        <f t="shared" si="39"/>
        <v>327757.424895</v>
      </c>
      <c r="AO202" s="113">
        <f t="shared" si="33"/>
        <v>-39399.055630000003</v>
      </c>
      <c r="AP202" s="113">
        <f t="shared" si="40"/>
        <v>-7163.4646600000005</v>
      </c>
      <c r="AQ202" s="113">
        <f>AE202*Valores!$C$43</f>
        <v>-9670.677291</v>
      </c>
      <c r="AR202" s="113">
        <f>AE202*Valores!$C$44</f>
        <v>-1074.5196989999999</v>
      </c>
      <c r="AS202" s="113">
        <f t="shared" si="35"/>
        <v>345007.91572000005</v>
      </c>
      <c r="AT202" s="113">
        <f>AE202*Valores!$C$46</f>
        <v>57307.717280000004</v>
      </c>
      <c r="AU202" s="113">
        <f>AE202*Valores!$C$47</f>
        <v>25072.126310000003</v>
      </c>
      <c r="AV202" s="113">
        <f>AE202*Valores!$C$48</f>
        <v>3581.7323300000003</v>
      </c>
      <c r="AW202" s="113">
        <f>AE202*Valores!$C$50</f>
        <v>12536.063155000002</v>
      </c>
      <c r="AX202" s="113">
        <f>AE202*Valores!$C$52</f>
        <v>19341.354582</v>
      </c>
      <c r="AY202" s="113">
        <f>AE202*Valores!$C$51</f>
        <v>2149.0393979999999</v>
      </c>
      <c r="AZ202" s="114"/>
      <c r="BA202" s="114">
        <f t="shared" si="32"/>
        <v>12</v>
      </c>
      <c r="BB202" s="111" t="s">
        <v>4</v>
      </c>
    </row>
    <row r="203" spans="1:54" s="100" customFormat="1" ht="11.25" customHeight="1" x14ac:dyDescent="0.15">
      <c r="A203" s="111" t="s">
        <v>432</v>
      </c>
      <c r="B203" s="111">
        <v>13</v>
      </c>
      <c r="C203" s="114">
        <v>196</v>
      </c>
      <c r="D203" s="112" t="str">
        <f t="shared" si="31"/>
        <v>Hora Cátedra Enseñanza Superior 13 hs</v>
      </c>
      <c r="E203" s="169">
        <v>1287</v>
      </c>
      <c r="F203" s="113">
        <f>ROUND(E203*Valores!$C$2,2)</f>
        <v>125876.32</v>
      </c>
      <c r="G203" s="169">
        <v>0</v>
      </c>
      <c r="H203" s="113">
        <f>ROUND(G203*Valores!$C$2,2)</f>
        <v>0</v>
      </c>
      <c r="I203" s="169">
        <v>0</v>
      </c>
      <c r="J203" s="113">
        <f>ROUND(I203*Valores!$C$2,2)</f>
        <v>0</v>
      </c>
      <c r="K203" s="169">
        <v>0</v>
      </c>
      <c r="L203" s="113">
        <f>ROUND(K203*Valores!$C$2,2)</f>
        <v>0</v>
      </c>
      <c r="M203" s="113">
        <f>ROUND(IF($H$2=0,IF(AND(A203&lt;&gt;"13-930",A203&lt;&gt;"13-940"),(SUM(F203,H203,J203,L203,W203,S203,Q203)*Valores!$C$4),0),0),2)</f>
        <v>40537.17</v>
      </c>
      <c r="N203" s="113">
        <f t="shared" si="36"/>
        <v>0</v>
      </c>
      <c r="O203" s="113">
        <f>Valores!C$65*B203</f>
        <v>86467.81</v>
      </c>
      <c r="P203" s="113">
        <f>ROUND(IF((Valores!$E$5*B203)&lt;=Valores!$F$5,Valores!$E$5*B203,Valores!$F$5),2)</f>
        <v>43331.99</v>
      </c>
      <c r="Q203" s="113">
        <f>IF($F$4="NO",Valores!$C$28*B203,Valores!$C$28*B203/2)</f>
        <v>22711.52</v>
      </c>
      <c r="R203" s="113">
        <f>Valores!$C$7*B203</f>
        <v>13560.820000000002</v>
      </c>
      <c r="S203" s="113">
        <f t="shared" ref="S203:S266" si="41">ROUND(R203*(1+$H$2),2)</f>
        <v>13560.82</v>
      </c>
      <c r="T203" s="113">
        <v>0</v>
      </c>
      <c r="U203" s="113">
        <v>0</v>
      </c>
      <c r="V203" s="169">
        <v>0</v>
      </c>
      <c r="W203" s="113">
        <f>ROUND(V203*Valores!$C$2,2)</f>
        <v>0</v>
      </c>
      <c r="X203" s="113">
        <v>0</v>
      </c>
      <c r="Y203" s="188">
        <v>0</v>
      </c>
      <c r="Z203" s="113">
        <f t="shared" si="37"/>
        <v>0</v>
      </c>
      <c r="AA203" s="169">
        <v>0</v>
      </c>
      <c r="AB203" s="113">
        <f>ROUND(AA203*Valores!$C$2,2)</f>
        <v>0</v>
      </c>
      <c r="AC203" s="113">
        <f>ROUND(IF($F$4="NO",Valores!$C$33*B203,Valores!$C$33*B203/2),2)</f>
        <v>20260.73</v>
      </c>
      <c r="AD203" s="113">
        <f>SUM(F203,H203,J203,L203,M203,N203,O203,P203,Q203,S203,T203,U203,W203,X203,Z203,AB203,AC203)*Valores!$C$58</f>
        <v>35274.635999999999</v>
      </c>
      <c r="AE203" s="113">
        <f t="shared" si="38"/>
        <v>388020.99599999998</v>
      </c>
      <c r="AF203" s="113">
        <f>IF(Valores!$C$13*B203&gt;Valores!$F$13,Valores!$F$13,Valores!$C$13*B203)</f>
        <v>31570.933333333334</v>
      </c>
      <c r="AG203" s="113">
        <f>IF((Valores!$C$59/20*B203)&gt;Valores!$C$59,Valores!$C$59,Valores!$C$59/20*B203)</f>
        <v>16250</v>
      </c>
      <c r="AH203" s="113">
        <f t="shared" si="34"/>
        <v>47820.933333333334</v>
      </c>
      <c r="AI203" s="113">
        <f>AE203*Valores!$C$39</f>
        <v>-42682.309560000002</v>
      </c>
      <c r="AJ203" s="113">
        <f>IF(AE203&lt;Valores!$E$40,-0.02,IF(AE203&lt;Valores!$F$40,-0.03,-0.04))*AE203</f>
        <v>-7760.4199200000003</v>
      </c>
      <c r="AK203" s="113">
        <f>AE203*Valores!$C$42</f>
        <v>-21341.154780000001</v>
      </c>
      <c r="AL203" s="113">
        <f>Valores!$C$56</f>
        <v>-1270.1600000000001</v>
      </c>
      <c r="AM203" s="113">
        <f>IF($F$5=0,Valores!$C$57,(Valores!$C$57+$F$5*(Valores!$C$57)))</f>
        <v>-7026</v>
      </c>
      <c r="AN203" s="113">
        <f t="shared" si="39"/>
        <v>355761.88507333334</v>
      </c>
      <c r="AO203" s="113">
        <f t="shared" si="33"/>
        <v>-42682.309560000002</v>
      </c>
      <c r="AP203" s="113">
        <f t="shared" si="40"/>
        <v>-7760.4199200000003</v>
      </c>
      <c r="AQ203" s="113">
        <f>AE203*Valores!$C$43</f>
        <v>-10476.566891999999</v>
      </c>
      <c r="AR203" s="113">
        <f>AE203*Valores!$C$44</f>
        <v>-1164.0629879999999</v>
      </c>
      <c r="AS203" s="113">
        <f t="shared" si="35"/>
        <v>373758.56997333333</v>
      </c>
      <c r="AT203" s="113">
        <f>AE203*Valores!$C$46</f>
        <v>62083.359360000002</v>
      </c>
      <c r="AU203" s="113">
        <f>AE203*Valores!$C$47</f>
        <v>27161.469720000001</v>
      </c>
      <c r="AV203" s="113">
        <f>AE203*Valores!$C$48</f>
        <v>3880.2099600000001</v>
      </c>
      <c r="AW203" s="113">
        <f>AE203*Valores!$C$50</f>
        <v>13580.73486</v>
      </c>
      <c r="AX203" s="113">
        <f>AE203*Valores!$C$52</f>
        <v>20953.133783999998</v>
      </c>
      <c r="AY203" s="113">
        <f>AE203*Valores!$C$51</f>
        <v>2328.1259759999998</v>
      </c>
      <c r="AZ203" s="114"/>
      <c r="BA203" s="114">
        <f t="shared" si="32"/>
        <v>13</v>
      </c>
      <c r="BB203" s="111" t="s">
        <v>4</v>
      </c>
    </row>
    <row r="204" spans="1:54" s="100" customFormat="1" ht="11.25" customHeight="1" x14ac:dyDescent="0.15">
      <c r="A204" s="111" t="s">
        <v>432</v>
      </c>
      <c r="B204" s="111">
        <v>14</v>
      </c>
      <c r="C204" s="114">
        <v>197</v>
      </c>
      <c r="D204" s="112" t="str">
        <f t="shared" si="31"/>
        <v>Hora Cátedra Enseñanza Superior 14 hs</v>
      </c>
      <c r="E204" s="169">
        <v>1386</v>
      </c>
      <c r="F204" s="113">
        <f>ROUND(E204*Valores!$C$2,2)</f>
        <v>135559.12</v>
      </c>
      <c r="G204" s="169">
        <v>0</v>
      </c>
      <c r="H204" s="113">
        <f>ROUND(G204*Valores!$C$2,2)</f>
        <v>0</v>
      </c>
      <c r="I204" s="169">
        <v>0</v>
      </c>
      <c r="J204" s="113">
        <f>ROUND(I204*Valores!$C$2,2)</f>
        <v>0</v>
      </c>
      <c r="K204" s="169">
        <v>0</v>
      </c>
      <c r="L204" s="113">
        <f>ROUND(K204*Valores!$C$2,2)</f>
        <v>0</v>
      </c>
      <c r="M204" s="113">
        <f>ROUND(IF($H$2=0,IF(AND(A204&lt;&gt;"13-930",A204&lt;&gt;"13-940"),(SUM(F204,H204,J204,L204,W204,S204,Q204)*Valores!$C$4),0),0),2)</f>
        <v>43655.41</v>
      </c>
      <c r="N204" s="113">
        <f t="shared" si="36"/>
        <v>0</v>
      </c>
      <c r="O204" s="113">
        <f>Valores!C$65*B204</f>
        <v>93119.18</v>
      </c>
      <c r="P204" s="113">
        <f>ROUND(IF((Valores!$E$5*B204)&lt;=Valores!$F$5,Valores!$E$5*B204,Valores!$F$5),2)</f>
        <v>46665.22</v>
      </c>
      <c r="Q204" s="113">
        <f>IF($F$4="NO",Valores!$C$28*B204,Valores!$C$28*B204/2)</f>
        <v>24458.559999999998</v>
      </c>
      <c r="R204" s="113">
        <f>Valores!$C$7*B204</f>
        <v>14603.960000000001</v>
      </c>
      <c r="S204" s="113">
        <f t="shared" si="41"/>
        <v>14603.96</v>
      </c>
      <c r="T204" s="113">
        <v>0</v>
      </c>
      <c r="U204" s="113">
        <v>0</v>
      </c>
      <c r="V204" s="169">
        <v>0</v>
      </c>
      <c r="W204" s="113">
        <f>ROUND(V204*Valores!$C$2,2)</f>
        <v>0</v>
      </c>
      <c r="X204" s="113">
        <v>0</v>
      </c>
      <c r="Y204" s="188">
        <v>0</v>
      </c>
      <c r="Z204" s="113">
        <f t="shared" si="37"/>
        <v>0</v>
      </c>
      <c r="AA204" s="169">
        <v>0</v>
      </c>
      <c r="AB204" s="113">
        <f>ROUND(AA204*Valores!$C$2,2)</f>
        <v>0</v>
      </c>
      <c r="AC204" s="113">
        <f>ROUND(IF($F$4="NO",Valores!$C$33*B204,Valores!$C$33*B204/2),2)</f>
        <v>21819.25</v>
      </c>
      <c r="AD204" s="113">
        <f>SUM(F204,H204,J204,L204,M204,N204,O204,P204,Q204,S204,T204,U204,W204,X204,Z204,AB204,AC204)*Valores!$C$58</f>
        <v>37988.07</v>
      </c>
      <c r="AE204" s="113">
        <f t="shared" si="38"/>
        <v>417868.76999999996</v>
      </c>
      <c r="AF204" s="113">
        <f>IF(Valores!$C$13*B204&gt;Valores!$F$13,Valores!$F$13,Valores!$C$13*B204)</f>
        <v>33999.466666666667</v>
      </c>
      <c r="AG204" s="113">
        <f>IF((Valores!$C$59/20*B204)&gt;Valores!$C$59,Valores!$C$59,Valores!$C$59/20*B204)</f>
        <v>17500</v>
      </c>
      <c r="AH204" s="113">
        <f t="shared" si="34"/>
        <v>51499.466666666667</v>
      </c>
      <c r="AI204" s="113">
        <f>AE204*Valores!$C$39</f>
        <v>-45965.564699999995</v>
      </c>
      <c r="AJ204" s="113">
        <f>IF(AE204&lt;Valores!$E$40,-0.02,IF(AE204&lt;Valores!$F$40,-0.03,-0.04))*AE204</f>
        <v>-8357.375399999999</v>
      </c>
      <c r="AK204" s="113">
        <f>AE204*Valores!$C$42</f>
        <v>-22982.782349999998</v>
      </c>
      <c r="AL204" s="113">
        <f>Valores!$C$56</f>
        <v>-1270.1600000000001</v>
      </c>
      <c r="AM204" s="113">
        <f>IF($F$5=0,Valores!$C$57,(Valores!$C$57+$F$5*(Valores!$C$57)))</f>
        <v>-7026</v>
      </c>
      <c r="AN204" s="113">
        <f t="shared" si="39"/>
        <v>383766.35421666666</v>
      </c>
      <c r="AO204" s="113">
        <f t="shared" si="33"/>
        <v>-45965.564699999995</v>
      </c>
      <c r="AP204" s="113">
        <f t="shared" si="40"/>
        <v>-8357.375399999999</v>
      </c>
      <c r="AQ204" s="113">
        <f>AE204*Valores!$C$43</f>
        <v>-11282.456789999998</v>
      </c>
      <c r="AR204" s="113">
        <f>AE204*Valores!$C$44</f>
        <v>-1253.6063099999999</v>
      </c>
      <c r="AS204" s="113">
        <f t="shared" si="35"/>
        <v>402509.23346666666</v>
      </c>
      <c r="AT204" s="113">
        <f>AE204*Valores!$C$46</f>
        <v>66859.003199999992</v>
      </c>
      <c r="AU204" s="113">
        <f>AE204*Valores!$C$47</f>
        <v>29250.813900000001</v>
      </c>
      <c r="AV204" s="113">
        <f>AE204*Valores!$C$48</f>
        <v>4178.6876999999995</v>
      </c>
      <c r="AW204" s="113">
        <f>AE204*Valores!$C$50</f>
        <v>14625.406950000001</v>
      </c>
      <c r="AX204" s="113">
        <f>AE204*Valores!$C$52</f>
        <v>22564.913579999997</v>
      </c>
      <c r="AY204" s="113">
        <f>AE204*Valores!$C$51</f>
        <v>2507.2126199999998</v>
      </c>
      <c r="AZ204" s="114"/>
      <c r="BA204" s="114">
        <f t="shared" si="32"/>
        <v>14</v>
      </c>
      <c r="BB204" s="111" t="s">
        <v>4</v>
      </c>
    </row>
    <row r="205" spans="1:54" s="100" customFormat="1" ht="11.25" customHeight="1" x14ac:dyDescent="0.15">
      <c r="A205" s="111" t="s">
        <v>432</v>
      </c>
      <c r="B205" s="111">
        <v>15</v>
      </c>
      <c r="C205" s="114">
        <v>198</v>
      </c>
      <c r="D205" s="112" t="str">
        <f t="shared" si="31"/>
        <v>Hora Cátedra Enseñanza Superior 15 hs</v>
      </c>
      <c r="E205" s="169">
        <v>1485</v>
      </c>
      <c r="F205" s="113">
        <f>ROUND(E205*Valores!$C$2,2)</f>
        <v>145241.91</v>
      </c>
      <c r="G205" s="169">
        <v>0</v>
      </c>
      <c r="H205" s="113">
        <f>ROUND(G205*Valores!$C$2,2)</f>
        <v>0</v>
      </c>
      <c r="I205" s="169">
        <v>0</v>
      </c>
      <c r="J205" s="113">
        <f>ROUND(I205*Valores!$C$2,2)</f>
        <v>0</v>
      </c>
      <c r="K205" s="169">
        <v>0</v>
      </c>
      <c r="L205" s="113">
        <f>ROUND(K205*Valores!$C$2,2)</f>
        <v>0</v>
      </c>
      <c r="M205" s="113">
        <f>ROUND(IF($H$2=0,IF(AND(A205&lt;&gt;"13-930",A205&lt;&gt;"13-940"),(SUM(F205,H205,J205,L205,W205,S205,Q205)*Valores!$C$4),0),0),2)</f>
        <v>46773.65</v>
      </c>
      <c r="N205" s="113">
        <f t="shared" si="36"/>
        <v>0</v>
      </c>
      <c r="O205" s="113">
        <f>Valores!C$65*B205</f>
        <v>99770.55</v>
      </c>
      <c r="P205" s="113">
        <f>ROUND(IF((Valores!$E$5*B205)&lt;=Valores!$F$5,Valores!$E$5*B205,Valores!$F$5),2)</f>
        <v>49998.45</v>
      </c>
      <c r="Q205" s="113">
        <f>IF($F$4="NO",Valores!$C$28*B205,Valores!$C$28*B205/2)</f>
        <v>26205.599999999999</v>
      </c>
      <c r="R205" s="113">
        <f>Valores!$C$7*B205</f>
        <v>15647.100000000002</v>
      </c>
      <c r="S205" s="113">
        <f t="shared" si="41"/>
        <v>15647.1</v>
      </c>
      <c r="T205" s="113">
        <v>0</v>
      </c>
      <c r="U205" s="113">
        <v>0</v>
      </c>
      <c r="V205" s="169">
        <v>0</v>
      </c>
      <c r="W205" s="113">
        <f>ROUND(V205*Valores!$C$2,2)</f>
        <v>0</v>
      </c>
      <c r="X205" s="113">
        <v>0</v>
      </c>
      <c r="Y205" s="188">
        <v>0</v>
      </c>
      <c r="Z205" s="113">
        <f t="shared" si="37"/>
        <v>0</v>
      </c>
      <c r="AA205" s="169">
        <v>0</v>
      </c>
      <c r="AB205" s="113">
        <f>ROUND(AA205*Valores!$C$2,2)</f>
        <v>0</v>
      </c>
      <c r="AC205" s="113">
        <f>ROUND(IF($F$4="NO",Valores!$C$33*B205,Valores!$C$33*B205/2),2)</f>
        <v>23377.77</v>
      </c>
      <c r="AD205" s="113">
        <f>SUM(F205,H205,J205,L205,M205,N205,O205,P205,Q205,S205,T205,U205,W205,X205,Z205,AB205,AC205)*Valores!$C$58</f>
        <v>40701.502999999997</v>
      </c>
      <c r="AE205" s="113">
        <f t="shared" si="38"/>
        <v>447716.53299999994</v>
      </c>
      <c r="AF205" s="113">
        <f>IF(Valores!$C$13*B205&gt;Valores!$F$13,Valores!$F$13,Valores!$C$13*B205)</f>
        <v>36428</v>
      </c>
      <c r="AG205" s="113">
        <f>IF((Valores!$C$59/20*B205)&gt;Valores!$C$59,Valores!$C$59,Valores!$C$59/20*B205)</f>
        <v>18750</v>
      </c>
      <c r="AH205" s="113">
        <f t="shared" si="34"/>
        <v>55178</v>
      </c>
      <c r="AI205" s="113">
        <f>AE205*Valores!$C$39</f>
        <v>-49248.818629999994</v>
      </c>
      <c r="AJ205" s="113">
        <f>IF(AE205&lt;Valores!$E$40,-0.02,IF(AE205&lt;Valores!$F$40,-0.03,-0.04))*AE205</f>
        <v>-8954.3306599999996</v>
      </c>
      <c r="AK205" s="113">
        <f>AE205*Valores!$C$42</f>
        <v>-24624.409314999997</v>
      </c>
      <c r="AL205" s="113">
        <f>Valores!$C$56</f>
        <v>-1270.1600000000001</v>
      </c>
      <c r="AM205" s="113">
        <f>IF($F$5=0,Valores!$C$57,(Valores!$C$57+$F$5*(Valores!$C$57)))</f>
        <v>-7026</v>
      </c>
      <c r="AN205" s="113">
        <f t="shared" si="39"/>
        <v>411770.81439499994</v>
      </c>
      <c r="AO205" s="113">
        <f t="shared" si="33"/>
        <v>-49248.818629999994</v>
      </c>
      <c r="AP205" s="113">
        <f t="shared" si="40"/>
        <v>-8954.3306599999996</v>
      </c>
      <c r="AQ205" s="113">
        <f>AE205*Valores!$C$43</f>
        <v>-12088.346390999997</v>
      </c>
      <c r="AR205" s="113">
        <f>AE205*Valores!$C$44</f>
        <v>-1343.1495989999999</v>
      </c>
      <c r="AS205" s="113">
        <f t="shared" si="35"/>
        <v>431259.88771999994</v>
      </c>
      <c r="AT205" s="113">
        <f>AE205*Valores!$C$46</f>
        <v>71634.645279999997</v>
      </c>
      <c r="AU205" s="113">
        <f>AE205*Valores!$C$47</f>
        <v>31340.157309999999</v>
      </c>
      <c r="AV205" s="113">
        <f>AE205*Valores!$C$48</f>
        <v>4477.1653299999998</v>
      </c>
      <c r="AW205" s="113">
        <f>AE205*Valores!$C$50</f>
        <v>15670.078654999999</v>
      </c>
      <c r="AX205" s="113">
        <f>AE205*Valores!$C$52</f>
        <v>24176.692781999995</v>
      </c>
      <c r="AY205" s="113">
        <f>AE205*Valores!$C$51</f>
        <v>2686.2991979999997</v>
      </c>
      <c r="AZ205" s="114"/>
      <c r="BA205" s="114">
        <f t="shared" si="32"/>
        <v>15</v>
      </c>
      <c r="BB205" s="111" t="s">
        <v>4</v>
      </c>
    </row>
    <row r="206" spans="1:54" s="100" customFormat="1" ht="11.25" customHeight="1" x14ac:dyDescent="0.15">
      <c r="A206" s="111" t="s">
        <v>432</v>
      </c>
      <c r="B206" s="111">
        <v>16</v>
      </c>
      <c r="C206" s="114">
        <v>199</v>
      </c>
      <c r="D206" s="112" t="str">
        <f t="shared" si="31"/>
        <v>Hora Cátedra Enseñanza Superior 16 hs</v>
      </c>
      <c r="E206" s="169">
        <v>1584</v>
      </c>
      <c r="F206" s="113">
        <f>ROUND(E206*Valores!$C$2,2)</f>
        <v>154924.70000000001</v>
      </c>
      <c r="G206" s="169">
        <v>0</v>
      </c>
      <c r="H206" s="113">
        <f>ROUND(G206*Valores!$C$2,2)</f>
        <v>0</v>
      </c>
      <c r="I206" s="169">
        <v>0</v>
      </c>
      <c r="J206" s="113">
        <f>ROUND(I206*Valores!$C$2,2)</f>
        <v>0</v>
      </c>
      <c r="K206" s="169">
        <v>0</v>
      </c>
      <c r="L206" s="113">
        <f>ROUND(K206*Valores!$C$2,2)</f>
        <v>0</v>
      </c>
      <c r="M206" s="113">
        <f>ROUND(IF($H$2=0,IF(AND(A206&lt;&gt;"13-930",A206&lt;&gt;"13-940"),(SUM(F206,H206,J206,L206,W206,S206,Q206)*Valores!$C$4),0),0),2)</f>
        <v>49891.9</v>
      </c>
      <c r="N206" s="113">
        <f t="shared" si="36"/>
        <v>0</v>
      </c>
      <c r="O206" s="113">
        <f>Valores!C$65*B206</f>
        <v>106421.92</v>
      </c>
      <c r="P206" s="113">
        <f>ROUND(IF((Valores!$E$5*B206)&lt;=Valores!$F$5,Valores!$E$5*B206,Valores!$F$5),2)</f>
        <v>53331.68</v>
      </c>
      <c r="Q206" s="113">
        <f>IF($F$4="NO",Valores!$C$28*B206,Valores!$C$28*B206/2)</f>
        <v>27952.639999999999</v>
      </c>
      <c r="R206" s="113">
        <f>Valores!$C$7*B206</f>
        <v>16690.240000000002</v>
      </c>
      <c r="S206" s="113">
        <f t="shared" si="41"/>
        <v>16690.240000000002</v>
      </c>
      <c r="T206" s="113">
        <v>0</v>
      </c>
      <c r="U206" s="113">
        <v>0</v>
      </c>
      <c r="V206" s="169">
        <v>0</v>
      </c>
      <c r="W206" s="113">
        <f>ROUND(V206*Valores!$C$2,2)</f>
        <v>0</v>
      </c>
      <c r="X206" s="113">
        <v>0</v>
      </c>
      <c r="Y206" s="188">
        <v>0</v>
      </c>
      <c r="Z206" s="113">
        <f t="shared" si="37"/>
        <v>0</v>
      </c>
      <c r="AA206" s="169">
        <v>0</v>
      </c>
      <c r="AB206" s="113">
        <f>ROUND(AA206*Valores!$C$2,2)</f>
        <v>0</v>
      </c>
      <c r="AC206" s="113">
        <f>ROUND(IF($F$4="NO",Valores!$C$33*B206,Valores!$C$33*B206/2),2)</f>
        <v>24936.29</v>
      </c>
      <c r="AD206" s="113">
        <f>SUM(F206,H206,J206,L206,M206,N206,O206,P206,Q206,S206,T206,U206,W206,X206,Z206,AB206,AC206)*Valores!$C$58</f>
        <v>43414.937000000005</v>
      </c>
      <c r="AE206" s="113">
        <f t="shared" si="38"/>
        <v>477564.30700000003</v>
      </c>
      <c r="AF206" s="113">
        <f>IF(Valores!$C$13*B206&gt;Valores!$F$13,Valores!$F$13,Valores!$C$13*B206)</f>
        <v>38856.533333333333</v>
      </c>
      <c r="AG206" s="113">
        <f>IF((Valores!$C$59/20*B206)&gt;Valores!$C$59,Valores!$C$59,Valores!$C$59/20*B206)</f>
        <v>20000</v>
      </c>
      <c r="AH206" s="113">
        <f t="shared" si="34"/>
        <v>58856.533333333333</v>
      </c>
      <c r="AI206" s="113">
        <f>AE206*Valores!$C$39</f>
        <v>-52532.073770000003</v>
      </c>
      <c r="AJ206" s="113">
        <f>IF(AE206&lt;Valores!$E$40,-0.02,IF(AE206&lt;Valores!$F$40,-0.03,-0.04))*AE206</f>
        <v>-9551.2861400000002</v>
      </c>
      <c r="AK206" s="113">
        <f>AE206*Valores!$C$42</f>
        <v>-26266.036885000001</v>
      </c>
      <c r="AL206" s="113">
        <f>Valores!$C$56</f>
        <v>-1270.1600000000001</v>
      </c>
      <c r="AM206" s="113">
        <f>IF($F$5=0,Valores!$C$57,(Valores!$C$57+$F$5*(Valores!$C$57)))</f>
        <v>-7026</v>
      </c>
      <c r="AN206" s="113">
        <f t="shared" si="39"/>
        <v>439775.28353833337</v>
      </c>
      <c r="AO206" s="113">
        <f t="shared" si="33"/>
        <v>-52532.073770000003</v>
      </c>
      <c r="AP206" s="113">
        <f t="shared" si="40"/>
        <v>-9551.2861400000002</v>
      </c>
      <c r="AQ206" s="113">
        <f>AE206*Valores!$C$43</f>
        <v>-12894.236289</v>
      </c>
      <c r="AR206" s="113">
        <f>AE206*Valores!$C$44</f>
        <v>-1432.6929210000001</v>
      </c>
      <c r="AS206" s="113">
        <f t="shared" si="35"/>
        <v>460010.55121333338</v>
      </c>
      <c r="AT206" s="113">
        <f>AE206*Valores!$C$46</f>
        <v>76410.289120000001</v>
      </c>
      <c r="AU206" s="113">
        <f>AE206*Valores!$C$47</f>
        <v>33429.501490000002</v>
      </c>
      <c r="AV206" s="113">
        <f>AE206*Valores!$C$48</f>
        <v>4775.6430700000001</v>
      </c>
      <c r="AW206" s="113">
        <f>AE206*Valores!$C$50</f>
        <v>16714.750745000001</v>
      </c>
      <c r="AX206" s="113">
        <f>AE206*Valores!$C$52</f>
        <v>25788.472578000001</v>
      </c>
      <c r="AY206" s="113">
        <f>AE206*Valores!$C$51</f>
        <v>2865.3858420000001</v>
      </c>
      <c r="AZ206" s="114"/>
      <c r="BA206" s="114">
        <f t="shared" si="32"/>
        <v>16</v>
      </c>
      <c r="BB206" s="111" t="s">
        <v>4</v>
      </c>
    </row>
    <row r="207" spans="1:54" s="100" customFormat="1" ht="11.25" customHeight="1" x14ac:dyDescent="0.15">
      <c r="A207" s="111" t="s">
        <v>432</v>
      </c>
      <c r="B207" s="111">
        <v>17</v>
      </c>
      <c r="C207" s="114">
        <v>200</v>
      </c>
      <c r="D207" s="112" t="str">
        <f t="shared" si="31"/>
        <v>Hora Cátedra Enseñanza Superior 17 hs</v>
      </c>
      <c r="E207" s="169">
        <v>1683</v>
      </c>
      <c r="F207" s="113">
        <f>ROUND(E207*Valores!$C$2,2)</f>
        <v>164607.5</v>
      </c>
      <c r="G207" s="169">
        <v>0</v>
      </c>
      <c r="H207" s="113">
        <f>ROUND(G207*Valores!$C$2,2)</f>
        <v>0</v>
      </c>
      <c r="I207" s="169">
        <v>0</v>
      </c>
      <c r="J207" s="113">
        <f>ROUND(I207*Valores!$C$2,2)</f>
        <v>0</v>
      </c>
      <c r="K207" s="169">
        <v>0</v>
      </c>
      <c r="L207" s="113">
        <f>ROUND(K207*Valores!$C$2,2)</f>
        <v>0</v>
      </c>
      <c r="M207" s="113">
        <f>ROUND(IF($H$2=0,IF(AND(A207&lt;&gt;"13-930",A207&lt;&gt;"13-940"),(SUM(F207,H207,J207,L207,W207,S207,Q207)*Valores!$C$4),0),0),2)</f>
        <v>53010.14</v>
      </c>
      <c r="N207" s="113">
        <f t="shared" si="36"/>
        <v>0</v>
      </c>
      <c r="O207" s="113">
        <f>Valores!C$65*B207</f>
        <v>113073.29</v>
      </c>
      <c r="P207" s="113">
        <f>ROUND(IF((Valores!$E$5*B207)&lt;=Valores!$F$5,Valores!$E$5*B207,Valores!$F$5),2)</f>
        <v>56664.91</v>
      </c>
      <c r="Q207" s="113">
        <f>IF($F$4="NO",Valores!$C$28*B207,Valores!$C$28*B207/2)</f>
        <v>29699.68</v>
      </c>
      <c r="R207" s="113">
        <f>Valores!$C$7*B207</f>
        <v>17733.38</v>
      </c>
      <c r="S207" s="113">
        <f t="shared" si="41"/>
        <v>17733.38</v>
      </c>
      <c r="T207" s="113">
        <v>0</v>
      </c>
      <c r="U207" s="113">
        <v>0</v>
      </c>
      <c r="V207" s="169">
        <v>0</v>
      </c>
      <c r="W207" s="113">
        <f>ROUND(V207*Valores!$C$2,2)</f>
        <v>0</v>
      </c>
      <c r="X207" s="113">
        <v>0</v>
      </c>
      <c r="Y207" s="188">
        <v>0</v>
      </c>
      <c r="Z207" s="113">
        <f t="shared" si="37"/>
        <v>0</v>
      </c>
      <c r="AA207" s="169">
        <v>0</v>
      </c>
      <c r="AB207" s="113">
        <f>ROUND(AA207*Valores!$C$2,2)</f>
        <v>0</v>
      </c>
      <c r="AC207" s="113">
        <f>ROUND(IF($F$4="NO",Valores!$C$33*B207,Valores!$C$33*B207/2),2)</f>
        <v>26494.81</v>
      </c>
      <c r="AD207" s="113">
        <f>SUM(F207,H207,J207,L207,M207,N207,O207,P207,Q207,S207,T207,U207,W207,X207,Z207,AB207,AC207)*Valores!$C$58</f>
        <v>46128.370999999999</v>
      </c>
      <c r="AE207" s="113">
        <f t="shared" si="38"/>
        <v>507412.08099999995</v>
      </c>
      <c r="AF207" s="113">
        <f>IF(Valores!$C$13*B207&gt;Valores!$F$13,Valores!$F$13,Valores!$C$13*B207)</f>
        <v>41285.066666666666</v>
      </c>
      <c r="AG207" s="113">
        <f>IF((Valores!$C$59/20*B207)&gt;Valores!$C$59,Valores!$C$59,Valores!$C$59/20*B207)</f>
        <v>21250</v>
      </c>
      <c r="AH207" s="113">
        <f t="shared" si="34"/>
        <v>62535.066666666666</v>
      </c>
      <c r="AI207" s="113">
        <f>AE207*Valores!$C$39</f>
        <v>-55815.328909999997</v>
      </c>
      <c r="AJ207" s="113">
        <f>IF(AE207&lt;Valores!$E$40,-0.02,IF(AE207&lt;Valores!$F$40,-0.03,-0.04))*AE207</f>
        <v>-10148.241619999999</v>
      </c>
      <c r="AK207" s="113">
        <f>AE207*Valores!$C$42</f>
        <v>-27907.664454999998</v>
      </c>
      <c r="AL207" s="113">
        <f>Valores!$C$56</f>
        <v>-1270.1600000000001</v>
      </c>
      <c r="AM207" s="113">
        <f>IF($F$5=0,Valores!$C$57,(Valores!$C$57+$F$5*(Valores!$C$57)))</f>
        <v>-7026</v>
      </c>
      <c r="AN207" s="113">
        <f t="shared" si="39"/>
        <v>467779.75268166664</v>
      </c>
      <c r="AO207" s="113">
        <f t="shared" si="33"/>
        <v>-55815.328909999997</v>
      </c>
      <c r="AP207" s="113">
        <f t="shared" si="40"/>
        <v>-10148.241619999999</v>
      </c>
      <c r="AQ207" s="113">
        <f>AE207*Valores!$C$43</f>
        <v>-13700.126186999998</v>
      </c>
      <c r="AR207" s="113">
        <f>AE207*Valores!$C$44</f>
        <v>-1522.2362429999998</v>
      </c>
      <c r="AS207" s="113">
        <f t="shared" si="35"/>
        <v>488761.21470666665</v>
      </c>
      <c r="AT207" s="113">
        <f>AE207*Valores!$C$46</f>
        <v>81185.932959999991</v>
      </c>
      <c r="AU207" s="113">
        <f>AE207*Valores!$C$47</f>
        <v>35518.845670000002</v>
      </c>
      <c r="AV207" s="113">
        <f>AE207*Valores!$C$48</f>
        <v>5074.1208099999994</v>
      </c>
      <c r="AW207" s="113">
        <f>AE207*Valores!$C$50</f>
        <v>17759.422835000001</v>
      </c>
      <c r="AX207" s="113">
        <f>AE207*Valores!$C$52</f>
        <v>27400.252373999996</v>
      </c>
      <c r="AY207" s="113">
        <f>AE207*Valores!$C$51</f>
        <v>3044.4724859999997</v>
      </c>
      <c r="AZ207" s="114"/>
      <c r="BA207" s="114">
        <f t="shared" si="32"/>
        <v>17</v>
      </c>
      <c r="BB207" s="111" t="s">
        <v>4</v>
      </c>
    </row>
    <row r="208" spans="1:54" s="100" customFormat="1" ht="11.25" customHeight="1" x14ac:dyDescent="0.15">
      <c r="A208" s="111" t="s">
        <v>432</v>
      </c>
      <c r="B208" s="111">
        <v>18</v>
      </c>
      <c r="C208" s="114">
        <v>201</v>
      </c>
      <c r="D208" s="112" t="str">
        <f t="shared" si="31"/>
        <v>Hora Cátedra Enseñanza Superior 18 hs</v>
      </c>
      <c r="E208" s="169">
        <v>1782</v>
      </c>
      <c r="F208" s="113">
        <f>ROUND(E208*Valores!$C$2,2)</f>
        <v>174290.29</v>
      </c>
      <c r="G208" s="169">
        <v>0</v>
      </c>
      <c r="H208" s="113">
        <f>ROUND(G208*Valores!$C$2,2)</f>
        <v>0</v>
      </c>
      <c r="I208" s="169">
        <v>0</v>
      </c>
      <c r="J208" s="113">
        <f>ROUND(I208*Valores!$C$2,2)</f>
        <v>0</v>
      </c>
      <c r="K208" s="169">
        <v>0</v>
      </c>
      <c r="L208" s="113">
        <f>ROUND(K208*Valores!$C$2,2)</f>
        <v>0</v>
      </c>
      <c r="M208" s="113">
        <f>ROUND(IF($H$2=0,IF(AND(A208&lt;&gt;"13-930",A208&lt;&gt;"13-940"),(SUM(F208,H208,J208,L208,W208,S208,Q208)*Valores!$C$4),0),0),2)</f>
        <v>56128.38</v>
      </c>
      <c r="N208" s="113">
        <f t="shared" si="36"/>
        <v>0</v>
      </c>
      <c r="O208" s="113">
        <f>Valores!C$65*B208</f>
        <v>119724.66</v>
      </c>
      <c r="P208" s="113">
        <f>ROUND(IF((Valores!$E$5*B208)&lt;=Valores!$F$5,Valores!$E$5*B208,Valores!$F$5),2)</f>
        <v>59998.14</v>
      </c>
      <c r="Q208" s="113">
        <f>IF($F$4="NO",Valores!$C$28*B208,Valores!$C$28*B208/2)</f>
        <v>31446.720000000001</v>
      </c>
      <c r="R208" s="113">
        <f>Valores!$C$7*B208</f>
        <v>18776.52</v>
      </c>
      <c r="S208" s="113">
        <f t="shared" si="41"/>
        <v>18776.52</v>
      </c>
      <c r="T208" s="113">
        <v>0</v>
      </c>
      <c r="U208" s="113">
        <v>0</v>
      </c>
      <c r="V208" s="169">
        <v>0</v>
      </c>
      <c r="W208" s="113">
        <f>ROUND(V208*Valores!$C$2,2)</f>
        <v>0</v>
      </c>
      <c r="X208" s="113">
        <v>0</v>
      </c>
      <c r="Y208" s="188">
        <v>0</v>
      </c>
      <c r="Z208" s="113">
        <f t="shared" si="37"/>
        <v>0</v>
      </c>
      <c r="AA208" s="169">
        <v>0</v>
      </c>
      <c r="AB208" s="113">
        <f>ROUND(AA208*Valores!$C$2,2)</f>
        <v>0</v>
      </c>
      <c r="AC208" s="113">
        <f>ROUND(IF($F$4="NO",Valores!$C$33*B208,Valores!$C$33*B208/2),2)</f>
        <v>28053.32</v>
      </c>
      <c r="AD208" s="113">
        <f>SUM(F208,H208,J208,L208,M208,N208,O208,P208,Q208,S208,T208,U208,W208,X208,Z208,AB208,AC208)*Valores!$C$58</f>
        <v>48841.803000000014</v>
      </c>
      <c r="AE208" s="113">
        <f t="shared" si="38"/>
        <v>537259.8330000001</v>
      </c>
      <c r="AF208" s="113">
        <f>IF(Valores!$C$13*B208&gt;Valores!$F$13,Valores!$F$13,Valores!$C$13*B208)</f>
        <v>43713.599999999999</v>
      </c>
      <c r="AG208" s="113">
        <f>IF((Valores!$C$59/20*B208)&gt;Valores!$C$59,Valores!$C$59,Valores!$C$59/20*B208)</f>
        <v>22500</v>
      </c>
      <c r="AH208" s="113">
        <f t="shared" si="34"/>
        <v>66213.600000000006</v>
      </c>
      <c r="AI208" s="113">
        <f>AE208*Valores!$C$39</f>
        <v>-59098.581630000008</v>
      </c>
      <c r="AJ208" s="113">
        <f>IF(AE208&lt;Valores!$E$40,-0.02,IF(AE208&lt;Valores!$F$40,-0.03,-0.04))*AE208</f>
        <v>-10745.196660000001</v>
      </c>
      <c r="AK208" s="113">
        <f>AE208*Valores!$C$42</f>
        <v>-29549.290815000004</v>
      </c>
      <c r="AL208" s="113">
        <f>Valores!$C$56</f>
        <v>-1270.1600000000001</v>
      </c>
      <c r="AM208" s="113">
        <f>IF($F$5=0,Valores!$C$57,(Valores!$C$57+$F$5*(Valores!$C$57)))</f>
        <v>-7026</v>
      </c>
      <c r="AN208" s="113">
        <f t="shared" si="39"/>
        <v>495784.2038950001</v>
      </c>
      <c r="AO208" s="113">
        <f t="shared" si="33"/>
        <v>-59098.581630000008</v>
      </c>
      <c r="AP208" s="113">
        <f t="shared" si="40"/>
        <v>-10745.196660000001</v>
      </c>
      <c r="AQ208" s="113">
        <f>AE208*Valores!$C$43</f>
        <v>-14506.015491000002</v>
      </c>
      <c r="AR208" s="113">
        <f>AE208*Valores!$C$44</f>
        <v>-1611.7794990000004</v>
      </c>
      <c r="AS208" s="113">
        <f t="shared" si="35"/>
        <v>517511.85972000007</v>
      </c>
      <c r="AT208" s="113">
        <f>AE208*Valores!$C$46</f>
        <v>85961.573280000011</v>
      </c>
      <c r="AU208" s="113">
        <f>AE208*Valores!$C$47</f>
        <v>37608.188310000012</v>
      </c>
      <c r="AV208" s="113">
        <f>AE208*Valores!$C$48</f>
        <v>5372.5983300000007</v>
      </c>
      <c r="AW208" s="113">
        <f>AE208*Valores!$C$50</f>
        <v>18804.094155000006</v>
      </c>
      <c r="AX208" s="113">
        <f>AE208*Valores!$C$52</f>
        <v>29012.030982000004</v>
      </c>
      <c r="AY208" s="113">
        <f>AE208*Valores!$C$51</f>
        <v>3223.5589980000009</v>
      </c>
      <c r="AZ208" s="114"/>
      <c r="BA208" s="114">
        <f t="shared" si="32"/>
        <v>18</v>
      </c>
      <c r="BB208" s="111" t="s">
        <v>4</v>
      </c>
    </row>
    <row r="209" spans="1:54" s="100" customFormat="1" ht="11.25" customHeight="1" x14ac:dyDescent="0.15">
      <c r="A209" s="111" t="s">
        <v>432</v>
      </c>
      <c r="B209" s="111">
        <v>19</v>
      </c>
      <c r="C209" s="114">
        <v>202</v>
      </c>
      <c r="D209" s="112" t="str">
        <f t="shared" si="31"/>
        <v>Hora Cátedra Enseñanza Superior 19 hs</v>
      </c>
      <c r="E209" s="169">
        <v>1881</v>
      </c>
      <c r="F209" s="113">
        <f>ROUND(E209*Valores!$C$2,2)</f>
        <v>183973.09</v>
      </c>
      <c r="G209" s="169">
        <v>0</v>
      </c>
      <c r="H209" s="113">
        <f>ROUND(G209*Valores!$C$2,2)</f>
        <v>0</v>
      </c>
      <c r="I209" s="169">
        <v>0</v>
      </c>
      <c r="J209" s="113">
        <f>ROUND(I209*Valores!$C$2,2)</f>
        <v>0</v>
      </c>
      <c r="K209" s="169">
        <v>0</v>
      </c>
      <c r="L209" s="113">
        <f>ROUND(K209*Valores!$C$2,2)</f>
        <v>0</v>
      </c>
      <c r="M209" s="113">
        <f>ROUND(IF($H$2=0,IF(AND(A209&lt;&gt;"13-930",A209&lt;&gt;"13-940"),(SUM(F209,H209,J209,L209,W209,S209,Q209)*Valores!$C$4),0),0),2)</f>
        <v>59246.63</v>
      </c>
      <c r="N209" s="113">
        <f t="shared" si="36"/>
        <v>0</v>
      </c>
      <c r="O209" s="113">
        <f>Valores!C$65*B209</f>
        <v>126376.03</v>
      </c>
      <c r="P209" s="113">
        <f>ROUND(IF((Valores!$E$5*B209)&lt;=Valores!$F$5,Valores!$E$5*B209,Valores!$F$5),2)</f>
        <v>63331.37</v>
      </c>
      <c r="Q209" s="113">
        <f>IF($F$4="NO",Valores!$C$28*B209,Valores!$C$28*B209/2)</f>
        <v>33193.760000000002</v>
      </c>
      <c r="R209" s="113">
        <f>Valores!$C$7*B209</f>
        <v>19819.660000000003</v>
      </c>
      <c r="S209" s="113">
        <f t="shared" si="41"/>
        <v>19819.66</v>
      </c>
      <c r="T209" s="113">
        <v>0</v>
      </c>
      <c r="U209" s="113">
        <v>0</v>
      </c>
      <c r="V209" s="169">
        <v>0</v>
      </c>
      <c r="W209" s="113">
        <f>ROUND(V209*Valores!$C$2,2)</f>
        <v>0</v>
      </c>
      <c r="X209" s="113">
        <v>0</v>
      </c>
      <c r="Y209" s="188">
        <v>0</v>
      </c>
      <c r="Z209" s="113">
        <f t="shared" si="37"/>
        <v>0</v>
      </c>
      <c r="AA209" s="169">
        <v>0</v>
      </c>
      <c r="AB209" s="113">
        <f>ROUND(AA209*Valores!$C$2,2)</f>
        <v>0</v>
      </c>
      <c r="AC209" s="113">
        <f>ROUND(IF($F$4="NO",Valores!$C$33*B209,Valores!$C$33*B209/2),2)</f>
        <v>29611.84</v>
      </c>
      <c r="AD209" s="113">
        <f>SUM(F209,H209,J209,L209,M209,N209,O209,P209,Q209,S209,T209,U209,W209,X209,Z209,AB209,AC209)*Valores!$C$58</f>
        <v>51555.238000000005</v>
      </c>
      <c r="AE209" s="113">
        <f t="shared" si="38"/>
        <v>567107.61800000002</v>
      </c>
      <c r="AF209" s="113">
        <f>IF(Valores!$C$13*B209&gt;Valores!$F$13,Valores!$F$13,Valores!$C$13*B209)</f>
        <v>46142.133333333331</v>
      </c>
      <c r="AG209" s="113">
        <f>IF((Valores!$C$59/20*B209)&gt;Valores!$C$59,Valores!$C$59,Valores!$C$59/20*B209)</f>
        <v>23750</v>
      </c>
      <c r="AH209" s="113">
        <f t="shared" si="34"/>
        <v>69892.133333333331</v>
      </c>
      <c r="AI209" s="113">
        <f>AE209*Valores!$C$39</f>
        <v>-62381.837980000004</v>
      </c>
      <c r="AJ209" s="113">
        <f>IF(AE209&lt;Valores!$E$40,-0.02,IF(AE209&lt;Valores!$F$40,-0.03,-0.04))*AE209</f>
        <v>-11342.15236</v>
      </c>
      <c r="AK209" s="113">
        <f>AE209*Valores!$C$42</f>
        <v>-31190.918990000002</v>
      </c>
      <c r="AL209" s="113">
        <f>Valores!$C$56</f>
        <v>-1270.1600000000001</v>
      </c>
      <c r="AM209" s="113">
        <f>IF($F$5=0,Valores!$C$57,(Valores!$C$57+$F$5*(Valores!$C$57)))</f>
        <v>-7026</v>
      </c>
      <c r="AN209" s="113">
        <f t="shared" si="39"/>
        <v>523788.68200333335</v>
      </c>
      <c r="AO209" s="113">
        <f t="shared" si="33"/>
        <v>-62381.837980000004</v>
      </c>
      <c r="AP209" s="113">
        <f t="shared" si="40"/>
        <v>-11342.15236</v>
      </c>
      <c r="AQ209" s="113">
        <f>AE209*Valores!$C$43</f>
        <v>-15311.905686</v>
      </c>
      <c r="AR209" s="113">
        <f>AE209*Valores!$C$44</f>
        <v>-1701.322854</v>
      </c>
      <c r="AS209" s="113">
        <f t="shared" si="35"/>
        <v>546262.53245333326</v>
      </c>
      <c r="AT209" s="113">
        <f>AE209*Valores!$C$46</f>
        <v>90737.21888</v>
      </c>
      <c r="AU209" s="113">
        <f>AE209*Valores!$C$47</f>
        <v>39697.533260000004</v>
      </c>
      <c r="AV209" s="113">
        <f>AE209*Valores!$C$48</f>
        <v>5671.07618</v>
      </c>
      <c r="AW209" s="113">
        <f>AE209*Valores!$C$50</f>
        <v>19848.766630000002</v>
      </c>
      <c r="AX209" s="113">
        <f>AE209*Valores!$C$52</f>
        <v>30623.811372</v>
      </c>
      <c r="AY209" s="113">
        <f>AE209*Valores!$C$51</f>
        <v>3402.645708</v>
      </c>
      <c r="AZ209" s="114"/>
      <c r="BA209" s="114">
        <f t="shared" si="32"/>
        <v>19</v>
      </c>
      <c r="BB209" s="111" t="s">
        <v>4</v>
      </c>
    </row>
    <row r="210" spans="1:54" s="100" customFormat="1" ht="11.25" customHeight="1" x14ac:dyDescent="0.15">
      <c r="A210" s="111" t="s">
        <v>432</v>
      </c>
      <c r="B210" s="111">
        <v>20</v>
      </c>
      <c r="C210" s="114">
        <v>203</v>
      </c>
      <c r="D210" s="112" t="str">
        <f t="shared" si="31"/>
        <v>Hora Cátedra Enseñanza Superior 20 hs</v>
      </c>
      <c r="E210" s="169">
        <v>1980</v>
      </c>
      <c r="F210" s="113">
        <f>ROUND(E210*Valores!$C$2,2)</f>
        <v>193655.88</v>
      </c>
      <c r="G210" s="169">
        <v>0</v>
      </c>
      <c r="H210" s="113">
        <f>ROUND(G210*Valores!$C$2,2)</f>
        <v>0</v>
      </c>
      <c r="I210" s="169">
        <v>0</v>
      </c>
      <c r="J210" s="113">
        <f>ROUND(I210*Valores!$C$2,2)</f>
        <v>0</v>
      </c>
      <c r="K210" s="169">
        <v>0</v>
      </c>
      <c r="L210" s="113">
        <f>ROUND(K210*Valores!$C$2,2)</f>
        <v>0</v>
      </c>
      <c r="M210" s="113">
        <f>ROUND(IF($H$2=0,IF(AND(A210&lt;&gt;"13-930",A210&lt;&gt;"13-940"),(SUM(F210,H210,J210,L210,W210,S210,Q210)*Valores!$C$4),0),0),2)</f>
        <v>62364.87</v>
      </c>
      <c r="N210" s="113">
        <f t="shared" si="36"/>
        <v>0</v>
      </c>
      <c r="O210" s="113">
        <f>Valores!C$65*B210</f>
        <v>133027.4</v>
      </c>
      <c r="P210" s="113">
        <f>ROUND(IF((Valores!$E$5*B210)&lt;=Valores!$F$5,Valores!$E$5*B210,Valores!$F$5),2)</f>
        <v>66664.600000000006</v>
      </c>
      <c r="Q210" s="113">
        <f>IF($F$4="NO",Valores!$C$28*B210,Valores!$C$28*B210/2)</f>
        <v>34940.800000000003</v>
      </c>
      <c r="R210" s="113">
        <f>Valores!$C$7*B210</f>
        <v>20862.800000000003</v>
      </c>
      <c r="S210" s="113">
        <f t="shared" si="41"/>
        <v>20862.8</v>
      </c>
      <c r="T210" s="113">
        <v>0</v>
      </c>
      <c r="U210" s="113">
        <v>0</v>
      </c>
      <c r="V210" s="169">
        <v>0</v>
      </c>
      <c r="W210" s="113">
        <f>ROUND(V210*Valores!$C$2,2)</f>
        <v>0</v>
      </c>
      <c r="X210" s="113">
        <v>0</v>
      </c>
      <c r="Y210" s="188">
        <v>0</v>
      </c>
      <c r="Z210" s="113">
        <f t="shared" si="37"/>
        <v>0</v>
      </c>
      <c r="AA210" s="169">
        <v>0</v>
      </c>
      <c r="AB210" s="113">
        <f>ROUND(AA210*Valores!$C$2,2)</f>
        <v>0</v>
      </c>
      <c r="AC210" s="113">
        <f>ROUND(IF($F$4="NO",Valores!$C$33*B210,Valores!$C$33*B210/2),2)</f>
        <v>31170.36</v>
      </c>
      <c r="AD210" s="113">
        <f>SUM(F210,H210,J210,L210,M210,N210,O210,P210,Q210,S210,T210,U210,W210,X210,Z210,AB210,AC210)*Valores!$C$58</f>
        <v>54268.671000000002</v>
      </c>
      <c r="AE210" s="113">
        <f t="shared" si="38"/>
        <v>596955.38099999994</v>
      </c>
      <c r="AF210" s="113">
        <f>IF(Valores!$C$13*B210&gt;Valores!$F$13,Valores!$F$13,Valores!$C$13*B210)</f>
        <v>48570.666666666664</v>
      </c>
      <c r="AG210" s="113">
        <f>IF((Valores!$C$59/20*B210)&gt;Valores!$C$59,Valores!$C$59,Valores!$C$59/20*B210)</f>
        <v>25000</v>
      </c>
      <c r="AH210" s="113">
        <f t="shared" si="34"/>
        <v>73570.666666666657</v>
      </c>
      <c r="AI210" s="113">
        <f>AE210*Valores!$C$39</f>
        <v>-65665.091909999988</v>
      </c>
      <c r="AJ210" s="113">
        <f>IF(AE210&lt;Valores!$E$40,-0.02,IF(AE210&lt;Valores!$F$40,-0.03,-0.04))*AE210</f>
        <v>-11939.107619999999</v>
      </c>
      <c r="AK210" s="113">
        <f>AE210*Valores!$C$42</f>
        <v>-32832.545954999994</v>
      </c>
      <c r="AL210" s="113">
        <f>Valores!$C$56</f>
        <v>-1270.1600000000001</v>
      </c>
      <c r="AM210" s="113">
        <f>IF($F$5=0,Valores!$C$57,(Valores!$C$57+$F$5*(Valores!$C$57)))</f>
        <v>-7026</v>
      </c>
      <c r="AN210" s="113">
        <f t="shared" si="39"/>
        <v>551793.14218166657</v>
      </c>
      <c r="AO210" s="113">
        <f t="shared" si="33"/>
        <v>-65665.091909999988</v>
      </c>
      <c r="AP210" s="113">
        <f t="shared" si="40"/>
        <v>-11939.107619999999</v>
      </c>
      <c r="AQ210" s="113">
        <f>AE210*Valores!$C$43</f>
        <v>-16117.795286999997</v>
      </c>
      <c r="AR210" s="113">
        <f>AE210*Valores!$C$44</f>
        <v>-1790.8661429999997</v>
      </c>
      <c r="AS210" s="113">
        <f t="shared" si="35"/>
        <v>575013.1867066666</v>
      </c>
      <c r="AT210" s="113">
        <f>AE210*Valores!$C$46</f>
        <v>95512.860959999991</v>
      </c>
      <c r="AU210" s="113">
        <f>AE210*Valores!$C$47</f>
        <v>41786.876669999998</v>
      </c>
      <c r="AV210" s="113">
        <f>AE210*Valores!$C$48</f>
        <v>5969.5538099999994</v>
      </c>
      <c r="AW210" s="113">
        <f>AE210*Valores!$C$50</f>
        <v>20893.438334999999</v>
      </c>
      <c r="AX210" s="113">
        <f>AE210*Valores!$C$52</f>
        <v>32235.590573999994</v>
      </c>
      <c r="AY210" s="113">
        <f>AE210*Valores!$C$51</f>
        <v>3581.7322859999995</v>
      </c>
      <c r="AZ210" s="114"/>
      <c r="BA210" s="114">
        <f t="shared" si="32"/>
        <v>20</v>
      </c>
      <c r="BB210" s="111" t="s">
        <v>4</v>
      </c>
    </row>
    <row r="211" spans="1:54" s="100" customFormat="1" ht="11.25" customHeight="1" x14ac:dyDescent="0.15">
      <c r="A211" s="111" t="s">
        <v>432</v>
      </c>
      <c r="B211" s="111">
        <v>21</v>
      </c>
      <c r="C211" s="114">
        <v>204</v>
      </c>
      <c r="D211" s="112" t="str">
        <f t="shared" si="31"/>
        <v>Hora Cátedra Enseñanza Superior 21 hs</v>
      </c>
      <c r="E211" s="169">
        <v>2079</v>
      </c>
      <c r="F211" s="113">
        <f>ROUND(E211*Valores!$C$2,2)</f>
        <v>203338.67</v>
      </c>
      <c r="G211" s="169">
        <v>0</v>
      </c>
      <c r="H211" s="113">
        <f>ROUND(G211*Valores!$C$2,2)</f>
        <v>0</v>
      </c>
      <c r="I211" s="169">
        <v>0</v>
      </c>
      <c r="J211" s="113">
        <f>ROUND(I211*Valores!$C$2,2)</f>
        <v>0</v>
      </c>
      <c r="K211" s="169">
        <v>0</v>
      </c>
      <c r="L211" s="113">
        <f>ROUND(K211*Valores!$C$2,2)</f>
        <v>0</v>
      </c>
      <c r="M211" s="113">
        <f>ROUND(IF($H$2=0,IF(AND(A211&lt;&gt;"13-930",A211&lt;&gt;"13-940"),(SUM(F211,H211,J211,L211,W211,S211,Q211)*Valores!$C$4),0),0),2)</f>
        <v>65483.11</v>
      </c>
      <c r="N211" s="113">
        <f t="shared" si="36"/>
        <v>0</v>
      </c>
      <c r="O211" s="113">
        <f>Valores!C$65*B211</f>
        <v>139678.76999999999</v>
      </c>
      <c r="P211" s="113">
        <f>ROUND(IF((Valores!$E$5*B211)&lt;=Valores!$F$5,Valores!$E$5*B211,Valores!$F$5),2)</f>
        <v>69997.83</v>
      </c>
      <c r="Q211" s="113">
        <f>IF($F$4="NO",Valores!$C$28*B211,Valores!$C$28*B211/2)</f>
        <v>36687.839999999997</v>
      </c>
      <c r="R211" s="113">
        <f>Valores!$C$7*B211</f>
        <v>21905.940000000002</v>
      </c>
      <c r="S211" s="113">
        <f t="shared" si="41"/>
        <v>21905.94</v>
      </c>
      <c r="T211" s="113">
        <v>0</v>
      </c>
      <c r="U211" s="113">
        <v>0</v>
      </c>
      <c r="V211" s="169">
        <v>0</v>
      </c>
      <c r="W211" s="113">
        <f>ROUND(V211*Valores!$C$2,2)</f>
        <v>0</v>
      </c>
      <c r="X211" s="113">
        <v>0</v>
      </c>
      <c r="Y211" s="188">
        <v>0</v>
      </c>
      <c r="Z211" s="113">
        <f t="shared" si="37"/>
        <v>0</v>
      </c>
      <c r="AA211" s="169">
        <v>0</v>
      </c>
      <c r="AB211" s="113">
        <f>ROUND(AA211*Valores!$C$2,2)</f>
        <v>0</v>
      </c>
      <c r="AC211" s="113">
        <f>ROUND(IF($F$4="NO",Valores!$C$33*B211,Valores!$C$33*B211/2),2)</f>
        <v>32728.880000000001</v>
      </c>
      <c r="AD211" s="113">
        <f>SUM(F211,H211,J211,L211,M211,N211,O211,P211,Q211,S211,T211,U211,W211,X211,Z211,AB211,AC211)*Valores!$C$58</f>
        <v>56982.104000000007</v>
      </c>
      <c r="AE211" s="113">
        <f t="shared" si="38"/>
        <v>626803.14400000009</v>
      </c>
      <c r="AF211" s="113">
        <f>IF(Valores!$C$13*B211&gt;Valores!$F$13,Valores!$F$13,Valores!$C$13*B211)</f>
        <v>50999.199999999997</v>
      </c>
      <c r="AG211" s="113">
        <f>IF((Valores!$C$59/20*B211)&gt;Valores!$C$59,Valores!$C$59,Valores!$C$59/20*B211)</f>
        <v>25000</v>
      </c>
      <c r="AH211" s="113">
        <f t="shared" si="34"/>
        <v>75999.199999999997</v>
      </c>
      <c r="AI211" s="113">
        <f>AE211*Valores!$C$39</f>
        <v>-68948.345840000009</v>
      </c>
      <c r="AJ211" s="113">
        <f>IF(AE211&lt;Valores!$E$40,-0.02,IF(AE211&lt;Valores!$F$40,-0.03,-0.04))*AE211</f>
        <v>-12536.062880000001</v>
      </c>
      <c r="AK211" s="113">
        <f>AE211*Valores!$C$42</f>
        <v>-34474.172920000005</v>
      </c>
      <c r="AL211" s="113">
        <f>Valores!$C$56</f>
        <v>-1270.1600000000001</v>
      </c>
      <c r="AM211" s="113">
        <f>IF($F$5=0,Valores!$C$57,(Valores!$C$57+$F$5*(Valores!$C$57)))</f>
        <v>-7026</v>
      </c>
      <c r="AN211" s="113">
        <f t="shared" si="39"/>
        <v>578547.60236000002</v>
      </c>
      <c r="AO211" s="113">
        <f t="shared" si="33"/>
        <v>-68948.345840000009</v>
      </c>
      <c r="AP211" s="113">
        <f t="shared" si="40"/>
        <v>-12536.062880000001</v>
      </c>
      <c r="AQ211" s="113">
        <f>AE211*Valores!$C$43</f>
        <v>-16923.684888000003</v>
      </c>
      <c r="AR211" s="113">
        <f>AE211*Valores!$C$44</f>
        <v>-1880.4094320000004</v>
      </c>
      <c r="AS211" s="113">
        <f t="shared" si="35"/>
        <v>602513.84096000006</v>
      </c>
      <c r="AT211" s="113">
        <f>AE211*Valores!$C$46</f>
        <v>100288.50304000001</v>
      </c>
      <c r="AU211" s="113">
        <f>AE211*Valores!$C$47</f>
        <v>43876.220080000014</v>
      </c>
      <c r="AV211" s="113">
        <f>AE211*Valores!$C$48</f>
        <v>6268.0314400000007</v>
      </c>
      <c r="AW211" s="113">
        <f>AE211*Valores!$C$50</f>
        <v>21938.110040000007</v>
      </c>
      <c r="AX211" s="113">
        <f>AE211*Valores!$C$52</f>
        <v>33847.369776000007</v>
      </c>
      <c r="AY211" s="113">
        <f>AE211*Valores!$C$51</f>
        <v>3760.8188640000008</v>
      </c>
      <c r="AZ211" s="114"/>
      <c r="BA211" s="114">
        <f t="shared" si="32"/>
        <v>21</v>
      </c>
      <c r="BB211" s="111" t="s">
        <v>8</v>
      </c>
    </row>
    <row r="212" spans="1:54" s="100" customFormat="1" ht="11.25" customHeight="1" x14ac:dyDescent="0.15">
      <c r="A212" s="111" t="s">
        <v>432</v>
      </c>
      <c r="B212" s="111">
        <v>22</v>
      </c>
      <c r="C212" s="114">
        <v>205</v>
      </c>
      <c r="D212" s="112" t="str">
        <f t="shared" si="31"/>
        <v>Hora Cátedra Enseñanza Superior 22 hs</v>
      </c>
      <c r="E212" s="169">
        <v>2178</v>
      </c>
      <c r="F212" s="113">
        <f>ROUND(E212*Valores!$C$2,2)</f>
        <v>213021.47</v>
      </c>
      <c r="G212" s="169">
        <v>0</v>
      </c>
      <c r="H212" s="113">
        <f>ROUND(G212*Valores!$C$2,2)</f>
        <v>0</v>
      </c>
      <c r="I212" s="169">
        <v>0</v>
      </c>
      <c r="J212" s="113">
        <f>ROUND(I212*Valores!$C$2,2)</f>
        <v>0</v>
      </c>
      <c r="K212" s="169">
        <v>0</v>
      </c>
      <c r="L212" s="113">
        <f>ROUND(K212*Valores!$C$2,2)</f>
        <v>0</v>
      </c>
      <c r="M212" s="113">
        <f>ROUND(IF($H$2=0,IF(AND(A212&lt;&gt;"13-930",A212&lt;&gt;"13-940"),(SUM(F212,H212,J212,L212,W212,S212,Q212)*Valores!$C$4),0),0),2)</f>
        <v>68601.36</v>
      </c>
      <c r="N212" s="113">
        <f t="shared" si="36"/>
        <v>0</v>
      </c>
      <c r="O212" s="113">
        <f>Valores!C$65*B212</f>
        <v>146330.13999999998</v>
      </c>
      <c r="P212" s="113">
        <f>ROUND(IF((Valores!$E$5*B212)&lt;=Valores!$F$5,Valores!$E$5*B212,Valores!$F$5),2)</f>
        <v>73331.06</v>
      </c>
      <c r="Q212" s="113">
        <f>IF($F$4="NO",Valores!$C$28*B212,Valores!$C$28*B212/2)</f>
        <v>38434.879999999997</v>
      </c>
      <c r="R212" s="113">
        <f>Valores!$C$7*B212</f>
        <v>22949.08</v>
      </c>
      <c r="S212" s="113">
        <f t="shared" si="41"/>
        <v>22949.08</v>
      </c>
      <c r="T212" s="113">
        <v>0</v>
      </c>
      <c r="U212" s="113">
        <v>0</v>
      </c>
      <c r="V212" s="169">
        <v>0</v>
      </c>
      <c r="W212" s="113">
        <f>ROUND(V212*Valores!$C$2,2)</f>
        <v>0</v>
      </c>
      <c r="X212" s="113">
        <v>0</v>
      </c>
      <c r="Y212" s="188">
        <v>0</v>
      </c>
      <c r="Z212" s="113">
        <f t="shared" si="37"/>
        <v>0</v>
      </c>
      <c r="AA212" s="169">
        <v>0</v>
      </c>
      <c r="AB212" s="113">
        <f>ROUND(AA212*Valores!$C$2,2)</f>
        <v>0</v>
      </c>
      <c r="AC212" s="113">
        <f>ROUND(IF($F$4="NO",Valores!$C$33*B212,Valores!$C$33*B212/2),2)</f>
        <v>34287.4</v>
      </c>
      <c r="AD212" s="113">
        <f>SUM(F212,H212,J212,L212,M212,N212,O212,P212,Q212,S212,T212,U212,W212,X212,Z212,AB212,AC212)*Valores!$C$58</f>
        <v>59695.53899999999</v>
      </c>
      <c r="AE212" s="113">
        <f t="shared" si="38"/>
        <v>656650.92899999989</v>
      </c>
      <c r="AF212" s="113">
        <f>IF(Valores!$C$13*B212&gt;Valores!$F$13,Valores!$F$13,Valores!$C$13*B212)</f>
        <v>53427.73333333333</v>
      </c>
      <c r="AG212" s="113">
        <f>IF((Valores!$C$59/20*B212)&gt;Valores!$C$59,Valores!$C$59,Valores!$C$59/20*B212)</f>
        <v>25000</v>
      </c>
      <c r="AH212" s="113">
        <f t="shared" si="34"/>
        <v>78427.733333333337</v>
      </c>
      <c r="AI212" s="113">
        <f>AE212*Valores!$C$39</f>
        <v>-72231.602189999991</v>
      </c>
      <c r="AJ212" s="113">
        <f>IF(AE212&lt;Valores!$E$40,-0.02,IF(AE212&lt;Valores!$F$40,-0.03,-0.04))*AE212</f>
        <v>-13133.018579999998</v>
      </c>
      <c r="AK212" s="113">
        <f>AE212*Valores!$C$42</f>
        <v>-36115.801094999995</v>
      </c>
      <c r="AL212" s="113">
        <f>Valores!$C$56</f>
        <v>-1270.1600000000001</v>
      </c>
      <c r="AM212" s="113">
        <f>IF($F$5=0,Valores!$C$57,(Valores!$C$57+$F$5*(Valores!$C$57)))</f>
        <v>-7026</v>
      </c>
      <c r="AN212" s="113">
        <f t="shared" si="39"/>
        <v>605302.08046833321</v>
      </c>
      <c r="AO212" s="113">
        <f t="shared" si="33"/>
        <v>-72231.602189999991</v>
      </c>
      <c r="AP212" s="113">
        <f t="shared" si="40"/>
        <v>-13133.018579999998</v>
      </c>
      <c r="AQ212" s="113">
        <f>AE212*Valores!$C$43</f>
        <v>-17729.575082999996</v>
      </c>
      <c r="AR212" s="113">
        <f>AE212*Valores!$C$44</f>
        <v>-1969.9527869999997</v>
      </c>
      <c r="AS212" s="113">
        <f t="shared" si="35"/>
        <v>630014.51369333314</v>
      </c>
      <c r="AT212" s="113">
        <f>AE212*Valores!$C$46</f>
        <v>105064.14863999998</v>
      </c>
      <c r="AU212" s="113">
        <f>AE212*Valores!$C$47</f>
        <v>45965.565029999998</v>
      </c>
      <c r="AV212" s="113">
        <f>AE212*Valores!$C$48</f>
        <v>6566.5092899999991</v>
      </c>
      <c r="AW212" s="113">
        <f>AE212*Valores!$C$50</f>
        <v>22982.782514999999</v>
      </c>
      <c r="AX212" s="113">
        <f>AE212*Valores!$C$52</f>
        <v>35459.150165999992</v>
      </c>
      <c r="AY212" s="113">
        <f>AE212*Valores!$C$51</f>
        <v>3939.9055739999994</v>
      </c>
      <c r="AZ212" s="114"/>
      <c r="BA212" s="114">
        <f t="shared" si="32"/>
        <v>22</v>
      </c>
      <c r="BB212" s="111" t="s">
        <v>8</v>
      </c>
    </row>
    <row r="213" spans="1:54" s="100" customFormat="1" ht="11.25" customHeight="1" x14ac:dyDescent="0.15">
      <c r="A213" s="111" t="s">
        <v>432</v>
      </c>
      <c r="B213" s="111">
        <v>23</v>
      </c>
      <c r="C213" s="114">
        <v>206</v>
      </c>
      <c r="D213" s="112" t="str">
        <f t="shared" si="31"/>
        <v>Hora Cátedra Enseñanza Superior 23 hs</v>
      </c>
      <c r="E213" s="169">
        <v>2277</v>
      </c>
      <c r="F213" s="113">
        <f>ROUND(E213*Valores!$C$2,2)</f>
        <v>222704.26</v>
      </c>
      <c r="G213" s="169">
        <v>0</v>
      </c>
      <c r="H213" s="113">
        <f>ROUND(G213*Valores!$C$2,2)</f>
        <v>0</v>
      </c>
      <c r="I213" s="169">
        <v>0</v>
      </c>
      <c r="J213" s="113">
        <f>ROUND(I213*Valores!$C$2,2)</f>
        <v>0</v>
      </c>
      <c r="K213" s="169">
        <v>0</v>
      </c>
      <c r="L213" s="113">
        <f>ROUND(K213*Valores!$C$2,2)</f>
        <v>0</v>
      </c>
      <c r="M213" s="113">
        <f>ROUND(IF($H$2=0,IF(AND(A213&lt;&gt;"13-930",A213&lt;&gt;"13-940"),(SUM(F213,H213,J213,L213,W213,S213,Q213)*Valores!$C$4),0),0),2)</f>
        <v>71719.600000000006</v>
      </c>
      <c r="N213" s="113">
        <f t="shared" si="36"/>
        <v>0</v>
      </c>
      <c r="O213" s="113">
        <f>Valores!C$65*B213</f>
        <v>152981.51</v>
      </c>
      <c r="P213" s="113">
        <f>ROUND(IF((Valores!$E$5*B213)&lt;=Valores!$F$5,Valores!$E$5*B213,Valores!$F$5),2)</f>
        <v>74997.64</v>
      </c>
      <c r="Q213" s="113">
        <f>IF($F$4="NO",Valores!$C$28*B213,Valores!$C$28*B213/2)</f>
        <v>40181.919999999998</v>
      </c>
      <c r="R213" s="113">
        <f>Valores!$C$7*B213</f>
        <v>23992.22</v>
      </c>
      <c r="S213" s="113">
        <f t="shared" si="41"/>
        <v>23992.22</v>
      </c>
      <c r="T213" s="113">
        <v>0</v>
      </c>
      <c r="U213" s="113">
        <v>0</v>
      </c>
      <c r="V213" s="169">
        <v>0</v>
      </c>
      <c r="W213" s="113">
        <f>ROUND(V213*Valores!$C$2,2)</f>
        <v>0</v>
      </c>
      <c r="X213" s="113">
        <v>0</v>
      </c>
      <c r="Y213" s="188">
        <v>0</v>
      </c>
      <c r="Z213" s="113">
        <f t="shared" si="37"/>
        <v>0</v>
      </c>
      <c r="AA213" s="169">
        <v>0</v>
      </c>
      <c r="AB213" s="113">
        <f>ROUND(AA213*Valores!$C$2,2)</f>
        <v>0</v>
      </c>
      <c r="AC213" s="113">
        <f>ROUND(IF($F$4="NO",Valores!$C$33*B213,Valores!$C$33*B213/2),2)</f>
        <v>35845.910000000003</v>
      </c>
      <c r="AD213" s="113">
        <f>SUM(F213,H213,J213,L213,M213,N213,O213,P213,Q213,S213,T213,U213,W213,X213,Z213,AB213,AC213)*Valores!$C$58</f>
        <v>62242.306000000011</v>
      </c>
      <c r="AE213" s="113">
        <f t="shared" si="38"/>
        <v>684665.36600000004</v>
      </c>
      <c r="AF213" s="113">
        <f>IF(Valores!$C$13*B213&gt;Valores!$F$13,Valores!$F$13,Valores!$C$13*B213)</f>
        <v>55856.266666666663</v>
      </c>
      <c r="AG213" s="113">
        <f>IF((Valores!$C$59/20*B213)&gt;Valores!$C$59,Valores!$C$59,Valores!$C$59/20*B213)</f>
        <v>25000</v>
      </c>
      <c r="AH213" s="113">
        <f t="shared" si="34"/>
        <v>80856.266666666663</v>
      </c>
      <c r="AI213" s="113">
        <f>AE213*Valores!$C$39</f>
        <v>-75313.190260000003</v>
      </c>
      <c r="AJ213" s="113">
        <f>IF(AE213&lt;Valores!$E$40,-0.02,IF(AE213&lt;Valores!$F$40,-0.03,-0.04))*AE213</f>
        <v>-13693.307320000002</v>
      </c>
      <c r="AK213" s="113">
        <f>AE213*Valores!$C$42</f>
        <v>-37656.595130000002</v>
      </c>
      <c r="AL213" s="113">
        <f>Valores!$C$56</f>
        <v>-1270.1600000000001</v>
      </c>
      <c r="AM213" s="113">
        <f>IF($F$5=0,Valores!$C$57,(Valores!$C$57+$F$5*(Valores!$C$57)))</f>
        <v>-7026</v>
      </c>
      <c r="AN213" s="113">
        <f t="shared" si="39"/>
        <v>630562.37995666673</v>
      </c>
      <c r="AO213" s="113">
        <f t="shared" si="33"/>
        <v>-75313.190260000003</v>
      </c>
      <c r="AP213" s="113">
        <f t="shared" si="40"/>
        <v>-13693.307320000002</v>
      </c>
      <c r="AQ213" s="113">
        <f>AE213*Valores!$C$43</f>
        <v>-18485.964882</v>
      </c>
      <c r="AR213" s="113">
        <f>AE213*Valores!$C$44</f>
        <v>-2053.9960980000001</v>
      </c>
      <c r="AS213" s="113">
        <f t="shared" si="35"/>
        <v>655975.1741066667</v>
      </c>
      <c r="AT213" s="113">
        <f>AE213*Valores!$C$46</f>
        <v>109546.45856000001</v>
      </c>
      <c r="AU213" s="113">
        <f>AE213*Valores!$C$47</f>
        <v>47926.575620000011</v>
      </c>
      <c r="AV213" s="113">
        <f>AE213*Valores!$C$48</f>
        <v>6846.6536600000009</v>
      </c>
      <c r="AW213" s="113">
        <f>AE213*Valores!$C$50</f>
        <v>23963.287810000005</v>
      </c>
      <c r="AX213" s="113">
        <f>AE213*Valores!$C$52</f>
        <v>36971.929764</v>
      </c>
      <c r="AY213" s="113">
        <f>AE213*Valores!$C$51</f>
        <v>4107.9921960000001</v>
      </c>
      <c r="AZ213" s="114"/>
      <c r="BA213" s="114">
        <f t="shared" si="32"/>
        <v>23</v>
      </c>
      <c r="BB213" s="111" t="s">
        <v>8</v>
      </c>
    </row>
    <row r="214" spans="1:54" s="100" customFormat="1" ht="11.25" customHeight="1" x14ac:dyDescent="0.15">
      <c r="A214" s="111" t="s">
        <v>432</v>
      </c>
      <c r="B214" s="111">
        <v>24</v>
      </c>
      <c r="C214" s="114">
        <v>207</v>
      </c>
      <c r="D214" s="112" t="str">
        <f t="shared" si="31"/>
        <v>Hora Cátedra Enseñanza Superior 24 hs</v>
      </c>
      <c r="E214" s="169">
        <v>2376</v>
      </c>
      <c r="F214" s="113">
        <f>ROUND(E214*Valores!$C$2,2)</f>
        <v>232387.06</v>
      </c>
      <c r="G214" s="169">
        <v>0</v>
      </c>
      <c r="H214" s="113">
        <f>ROUND(G214*Valores!$C$2,2)</f>
        <v>0</v>
      </c>
      <c r="I214" s="169">
        <v>0</v>
      </c>
      <c r="J214" s="113">
        <f>ROUND(I214*Valores!$C$2,2)</f>
        <v>0</v>
      </c>
      <c r="K214" s="169">
        <v>0</v>
      </c>
      <c r="L214" s="113">
        <f>ROUND(K214*Valores!$C$2,2)</f>
        <v>0</v>
      </c>
      <c r="M214" s="113">
        <f>ROUND(IF($H$2=0,IF(AND(A214&lt;&gt;"13-930",A214&lt;&gt;"13-940"),(SUM(F214,H214,J214,L214,W214,S214,Q214)*Valores!$C$4),0),0),2)</f>
        <v>74837.850000000006</v>
      </c>
      <c r="N214" s="113">
        <f t="shared" si="36"/>
        <v>0</v>
      </c>
      <c r="O214" s="113">
        <f>Valores!C$65*B214</f>
        <v>159632.88</v>
      </c>
      <c r="P214" s="113">
        <f>ROUND(IF((Valores!$E$5*B214)&lt;=Valores!$F$5,Valores!$E$5*B214,Valores!$F$5),2)</f>
        <v>74997.64</v>
      </c>
      <c r="Q214" s="113">
        <f>IF($F$4="NO",Valores!$C$28*B214,Valores!$C$28*B214/2)</f>
        <v>41928.959999999999</v>
      </c>
      <c r="R214" s="113">
        <f>Valores!$C$7*B214</f>
        <v>25035.360000000001</v>
      </c>
      <c r="S214" s="113">
        <f t="shared" si="41"/>
        <v>25035.360000000001</v>
      </c>
      <c r="T214" s="113">
        <v>0</v>
      </c>
      <c r="U214" s="113">
        <v>0</v>
      </c>
      <c r="V214" s="169">
        <v>0</v>
      </c>
      <c r="W214" s="113">
        <f>ROUND(V214*Valores!$C$2,2)</f>
        <v>0</v>
      </c>
      <c r="X214" s="113">
        <v>0</v>
      </c>
      <c r="Y214" s="188">
        <v>0</v>
      </c>
      <c r="Z214" s="113">
        <f t="shared" si="37"/>
        <v>0</v>
      </c>
      <c r="AA214" s="169">
        <v>0</v>
      </c>
      <c r="AB214" s="113">
        <f>ROUND(AA214*Valores!$C$2,2)</f>
        <v>0</v>
      </c>
      <c r="AC214" s="113">
        <f>ROUND(IF($F$4="NO",Valores!$C$33*B214,Valores!$C$33*B214/2),2)</f>
        <v>37404.43</v>
      </c>
      <c r="AD214" s="113">
        <f>SUM(F214,H214,J214,L214,M214,N214,O214,P214,Q214,S214,T214,U214,W214,X214,Z214,AB214,AC214)*Valores!$C$58</f>
        <v>64622.418000000005</v>
      </c>
      <c r="AE214" s="113">
        <f t="shared" si="38"/>
        <v>710846.598</v>
      </c>
      <c r="AF214" s="113">
        <f>IF(Valores!$C$13*B214&gt;Valores!$F$13,Valores!$F$13,Valores!$C$13*B214)</f>
        <v>58284.800000000003</v>
      </c>
      <c r="AG214" s="113">
        <f>IF((Valores!$C$59/20*B214)&gt;Valores!$C$59,Valores!$C$59,Valores!$C$59/20*B214)</f>
        <v>25000</v>
      </c>
      <c r="AH214" s="113">
        <f t="shared" si="34"/>
        <v>83284.800000000003</v>
      </c>
      <c r="AI214" s="113">
        <f>AE214*Valores!$C$39</f>
        <v>-78193.125780000002</v>
      </c>
      <c r="AJ214" s="113">
        <f>IF(AE214&lt;Valores!$E$40,-0.02,IF(AE214&lt;Valores!$F$40,-0.03,-0.04))*AE214</f>
        <v>-14216.93196</v>
      </c>
      <c r="AK214" s="113">
        <f>AE214*Valores!$C$42</f>
        <v>-39096.562890000001</v>
      </c>
      <c r="AL214" s="113">
        <f>Valores!$C$56</f>
        <v>-1270.1600000000001</v>
      </c>
      <c r="AM214" s="113">
        <f>IF($F$5=0,Valores!$C$57,(Valores!$C$57+$F$5*(Valores!$C$57)))</f>
        <v>-7026</v>
      </c>
      <c r="AN214" s="113">
        <f t="shared" si="39"/>
        <v>654328.61736999999</v>
      </c>
      <c r="AO214" s="113">
        <f t="shared" si="33"/>
        <v>-78193.125780000002</v>
      </c>
      <c r="AP214" s="113">
        <f t="shared" si="40"/>
        <v>-14216.93196</v>
      </c>
      <c r="AQ214" s="113">
        <f>AE214*Valores!$C$43</f>
        <v>-19192.858145999999</v>
      </c>
      <c r="AR214" s="113">
        <f>AE214*Valores!$C$44</f>
        <v>-2132.5397940000003</v>
      </c>
      <c r="AS214" s="113">
        <f t="shared" si="35"/>
        <v>680395.94232000003</v>
      </c>
      <c r="AT214" s="113">
        <f>AE214*Valores!$C$46</f>
        <v>113735.45568</v>
      </c>
      <c r="AU214" s="113">
        <f>AE214*Valores!$C$47</f>
        <v>49759.261860000006</v>
      </c>
      <c r="AV214" s="113">
        <f>AE214*Valores!$C$48</f>
        <v>7108.4659799999999</v>
      </c>
      <c r="AW214" s="113">
        <f>AE214*Valores!$C$50</f>
        <v>24879.630930000003</v>
      </c>
      <c r="AX214" s="113">
        <f>AE214*Valores!$C$52</f>
        <v>38385.716291999997</v>
      </c>
      <c r="AY214" s="113">
        <f>AE214*Valores!$C$51</f>
        <v>4265.0795880000005</v>
      </c>
      <c r="AZ214" s="114"/>
      <c r="BA214" s="114">
        <f t="shared" si="32"/>
        <v>24</v>
      </c>
      <c r="BB214" s="111" t="s">
        <v>4</v>
      </c>
    </row>
    <row r="215" spans="1:54" s="100" customFormat="1" ht="11.25" customHeight="1" x14ac:dyDescent="0.15">
      <c r="A215" s="111" t="s">
        <v>432</v>
      </c>
      <c r="B215" s="111">
        <v>25</v>
      </c>
      <c r="C215" s="114">
        <v>208</v>
      </c>
      <c r="D215" s="112" t="str">
        <f t="shared" si="31"/>
        <v>Hora Cátedra Enseñanza Superior 25 hs</v>
      </c>
      <c r="E215" s="169">
        <v>2475</v>
      </c>
      <c r="F215" s="113">
        <f>ROUND(E215*Valores!$C$2,2)</f>
        <v>242069.85</v>
      </c>
      <c r="G215" s="169">
        <v>0</v>
      </c>
      <c r="H215" s="113">
        <f>ROUND(G215*Valores!$C$2,2)</f>
        <v>0</v>
      </c>
      <c r="I215" s="169">
        <v>0</v>
      </c>
      <c r="J215" s="113">
        <f>ROUND(I215*Valores!$C$2,2)</f>
        <v>0</v>
      </c>
      <c r="K215" s="169">
        <v>0</v>
      </c>
      <c r="L215" s="113">
        <f>ROUND(K215*Valores!$C$2,2)</f>
        <v>0</v>
      </c>
      <c r="M215" s="113">
        <f>ROUND(IF($H$2=0,IF(AND(A215&lt;&gt;"13-930",A215&lt;&gt;"13-940"),(SUM(F215,H215,J215,L215,W215,S215,Q215)*Valores!$C$4),0),0),2)</f>
        <v>77956.09</v>
      </c>
      <c r="N215" s="113">
        <f t="shared" si="36"/>
        <v>0</v>
      </c>
      <c r="O215" s="113">
        <f>Valores!C$65*B215</f>
        <v>166284.25</v>
      </c>
      <c r="P215" s="113">
        <f>ROUND(IF((Valores!$E$5*B215)&lt;=Valores!$F$5,Valores!$E$5*B215,Valores!$F$5),2)</f>
        <v>74997.64</v>
      </c>
      <c r="Q215" s="113">
        <f>IF($F$4="NO",Valores!$C$28*B215,Valores!$C$28*B215/2)</f>
        <v>43676</v>
      </c>
      <c r="R215" s="113">
        <f>Valores!$C$7*B215</f>
        <v>26078.500000000004</v>
      </c>
      <c r="S215" s="113">
        <f t="shared" si="41"/>
        <v>26078.5</v>
      </c>
      <c r="T215" s="113">
        <v>0</v>
      </c>
      <c r="U215" s="113">
        <v>0</v>
      </c>
      <c r="V215" s="169">
        <v>0</v>
      </c>
      <c r="W215" s="113">
        <f>ROUND(V215*Valores!$C$2,2)</f>
        <v>0</v>
      </c>
      <c r="X215" s="113">
        <v>0</v>
      </c>
      <c r="Y215" s="188">
        <v>0</v>
      </c>
      <c r="Z215" s="113">
        <f t="shared" si="37"/>
        <v>0</v>
      </c>
      <c r="AA215" s="169">
        <v>0</v>
      </c>
      <c r="AB215" s="113">
        <f>ROUND(AA215*Valores!$C$2,2)</f>
        <v>0</v>
      </c>
      <c r="AC215" s="113">
        <f>ROUND(IF($F$4="NO",Valores!$C$33*B215,Valores!$C$33*B215/2),2)</f>
        <v>38962.949999999997</v>
      </c>
      <c r="AD215" s="113">
        <f>SUM(F215,H215,J215,L215,M215,N215,O215,P215,Q215,S215,T215,U215,W215,X215,Z215,AB215,AC215)*Valores!$C$58</f>
        <v>67002.527999999991</v>
      </c>
      <c r="AE215" s="113">
        <f t="shared" si="38"/>
        <v>737027.80799999996</v>
      </c>
      <c r="AF215" s="113">
        <f>IF(Valores!$C$13*B215&gt;Valores!$F$13,Valores!$F$13,Valores!$C$13*B215)</f>
        <v>60713.333333333336</v>
      </c>
      <c r="AG215" s="113">
        <f>IF((Valores!$C$59/20*B215)&gt;Valores!$C$59,Valores!$C$59,Valores!$C$59/20*B215)</f>
        <v>25000</v>
      </c>
      <c r="AH215" s="113">
        <f t="shared" si="34"/>
        <v>85713.333333333343</v>
      </c>
      <c r="AI215" s="113">
        <f>AE215*Valores!$C$39</f>
        <v>-81073.058879999997</v>
      </c>
      <c r="AJ215" s="113">
        <f>IF(AE215&lt;Valores!$E$40,-0.02,IF(AE215&lt;Valores!$F$40,-0.03,-0.04))*AE215</f>
        <v>-14740.55616</v>
      </c>
      <c r="AK215" s="113">
        <f>AE215*Valores!$C$42</f>
        <v>-40536.529439999998</v>
      </c>
      <c r="AL215" s="113">
        <f>Valores!$C$56</f>
        <v>-1270.1600000000001</v>
      </c>
      <c r="AM215" s="113">
        <f>IF($F$5=0,Valores!$C$57,(Valores!$C$57+$F$5*(Valores!$C$57)))</f>
        <v>-7026</v>
      </c>
      <c r="AN215" s="113">
        <f t="shared" si="39"/>
        <v>678094.83685333328</v>
      </c>
      <c r="AO215" s="113">
        <f t="shared" si="33"/>
        <v>-81073.058879999997</v>
      </c>
      <c r="AP215" s="113">
        <f t="shared" si="40"/>
        <v>-14740.55616</v>
      </c>
      <c r="AQ215" s="113">
        <f>AE215*Valores!$C$43</f>
        <v>-19899.750816</v>
      </c>
      <c r="AR215" s="113">
        <f>AE215*Valores!$C$44</f>
        <v>-2211.0834239999999</v>
      </c>
      <c r="AS215" s="113">
        <f t="shared" si="35"/>
        <v>704816.69205333339</v>
      </c>
      <c r="AT215" s="113">
        <f>AE215*Valores!$C$46</f>
        <v>117924.44928</v>
      </c>
      <c r="AU215" s="113">
        <f>AE215*Valores!$C$47</f>
        <v>51591.946560000004</v>
      </c>
      <c r="AV215" s="113">
        <f>AE215*Valores!$C$48</f>
        <v>7370.27808</v>
      </c>
      <c r="AW215" s="113">
        <f>AE215*Valores!$C$50</f>
        <v>25795.973280000002</v>
      </c>
      <c r="AX215" s="113">
        <f>AE215*Valores!$C$52</f>
        <v>39799.501632</v>
      </c>
      <c r="AY215" s="113">
        <f>AE215*Valores!$C$51</f>
        <v>4422.1668479999998</v>
      </c>
      <c r="AZ215" s="114"/>
      <c r="BA215" s="114">
        <f t="shared" si="32"/>
        <v>25</v>
      </c>
      <c r="BB215" s="111" t="s">
        <v>4</v>
      </c>
    </row>
    <row r="216" spans="1:54" s="100" customFormat="1" ht="11.25" customHeight="1" x14ac:dyDescent="0.15">
      <c r="A216" s="111" t="s">
        <v>432</v>
      </c>
      <c r="B216" s="111">
        <v>26</v>
      </c>
      <c r="C216" s="114">
        <v>209</v>
      </c>
      <c r="D216" s="112" t="str">
        <f t="shared" si="31"/>
        <v>Hora Cátedra Enseñanza Superior 26 hs</v>
      </c>
      <c r="E216" s="169">
        <v>2574</v>
      </c>
      <c r="F216" s="113">
        <f>ROUND(E216*Valores!$C$2,2)</f>
        <v>251752.64</v>
      </c>
      <c r="G216" s="169">
        <v>0</v>
      </c>
      <c r="H216" s="113">
        <f>ROUND(G216*Valores!$C$2,2)</f>
        <v>0</v>
      </c>
      <c r="I216" s="169">
        <v>0</v>
      </c>
      <c r="J216" s="113">
        <f>ROUND(I216*Valores!$C$2,2)</f>
        <v>0</v>
      </c>
      <c r="K216" s="169">
        <v>0</v>
      </c>
      <c r="L216" s="113">
        <f>ROUND(K216*Valores!$C$2,2)</f>
        <v>0</v>
      </c>
      <c r="M216" s="113">
        <f>ROUND(IF($H$2=0,IF(AND(A216&lt;&gt;"13-930",A216&lt;&gt;"13-940"),(SUM(F216,H216,J216,L216,W216,S216,Q216)*Valores!$C$4),0),0),2)</f>
        <v>81074.33</v>
      </c>
      <c r="N216" s="113">
        <f t="shared" si="36"/>
        <v>0</v>
      </c>
      <c r="O216" s="113">
        <f>Valores!C$65*B216</f>
        <v>172935.62</v>
      </c>
      <c r="P216" s="113">
        <f>ROUND(IF((Valores!$E$5*B216)&lt;=Valores!$F$5,Valores!$E$5*B216,Valores!$F$5),2)</f>
        <v>74997.64</v>
      </c>
      <c r="Q216" s="113">
        <f>IF($F$4="NO",Valores!$C$28*B216,Valores!$C$28*B216/2)</f>
        <v>45423.040000000001</v>
      </c>
      <c r="R216" s="113">
        <f>Valores!$C$7*B216</f>
        <v>27121.640000000003</v>
      </c>
      <c r="S216" s="113">
        <f t="shared" si="41"/>
        <v>27121.64</v>
      </c>
      <c r="T216" s="113">
        <v>0</v>
      </c>
      <c r="U216" s="113">
        <v>0</v>
      </c>
      <c r="V216" s="169">
        <v>0</v>
      </c>
      <c r="W216" s="113">
        <f>ROUND(V216*Valores!$C$2,2)</f>
        <v>0</v>
      </c>
      <c r="X216" s="113">
        <v>0</v>
      </c>
      <c r="Y216" s="188">
        <v>0</v>
      </c>
      <c r="Z216" s="113">
        <f t="shared" si="37"/>
        <v>0</v>
      </c>
      <c r="AA216" s="169">
        <v>0</v>
      </c>
      <c r="AB216" s="113">
        <f>ROUND(AA216*Valores!$C$2,2)</f>
        <v>0</v>
      </c>
      <c r="AC216" s="113">
        <f>ROUND(IF($F$4="NO",Valores!$C$33*B216,Valores!$C$33*B216/2),2)</f>
        <v>40521.47</v>
      </c>
      <c r="AD216" s="113">
        <f>SUM(F216,H216,J216,L216,M216,N216,O216,P216,Q216,S216,T216,U216,W216,X216,Z216,AB216,AC216)*Valores!$C$58</f>
        <v>69382.638000000006</v>
      </c>
      <c r="AE216" s="113">
        <f t="shared" si="38"/>
        <v>763209.01800000004</v>
      </c>
      <c r="AF216" s="113">
        <f>IF(Valores!$C$13*B216&gt;Valores!$F$13,Valores!$F$13,Valores!$C$13*B216)</f>
        <v>63141.866666666669</v>
      </c>
      <c r="AG216" s="113">
        <f>IF((Valores!$C$59/20*B216)&gt;Valores!$C$59,Valores!$C$59,Valores!$C$59/20*B216)</f>
        <v>25000</v>
      </c>
      <c r="AH216" s="113">
        <f t="shared" si="34"/>
        <v>88141.866666666669</v>
      </c>
      <c r="AI216" s="113">
        <f>AE216*Valores!$C$39</f>
        <v>-83952.991980000006</v>
      </c>
      <c r="AJ216" s="113">
        <f>IF(AE216&lt;Valores!$E$40,-0.02,IF(AE216&lt;Valores!$F$40,-0.03,-0.04))*AE216</f>
        <v>-22896.270540000001</v>
      </c>
      <c r="AK216" s="113">
        <f>AE216*Valores!$C$42</f>
        <v>-41976.495990000003</v>
      </c>
      <c r="AL216" s="113">
        <f>Valores!$C$56</f>
        <v>-1270.1600000000001</v>
      </c>
      <c r="AM216" s="113">
        <f>IF($F$5=0,Valores!$C$57,(Valores!$C$57+$F$5*(Valores!$C$57)))</f>
        <v>-7026</v>
      </c>
      <c r="AN216" s="113">
        <f t="shared" si="39"/>
        <v>694228.96615666663</v>
      </c>
      <c r="AO216" s="113">
        <f t="shared" si="33"/>
        <v>-83952.991980000006</v>
      </c>
      <c r="AP216" s="113">
        <f t="shared" si="40"/>
        <v>-22896.270540000001</v>
      </c>
      <c r="AQ216" s="113">
        <f>AE216*Valores!$C$43</f>
        <v>-20606.643486000001</v>
      </c>
      <c r="AR216" s="113">
        <f>AE216*Valores!$C$44</f>
        <v>-2289.627054</v>
      </c>
      <c r="AS216" s="113">
        <f t="shared" si="35"/>
        <v>721605.35160666669</v>
      </c>
      <c r="AT216" s="113">
        <f>AE216*Valores!$C$46</f>
        <v>122113.44288</v>
      </c>
      <c r="AU216" s="113">
        <f>AE216*Valores!$C$47</f>
        <v>53424.631260000009</v>
      </c>
      <c r="AV216" s="113">
        <f>AE216*Valores!$C$48</f>
        <v>7632.0901800000001</v>
      </c>
      <c r="AW216" s="113">
        <f>AE216*Valores!$C$50</f>
        <v>26712.315630000005</v>
      </c>
      <c r="AX216" s="113">
        <f>AE216*Valores!$C$52</f>
        <v>41213.286972000002</v>
      </c>
      <c r="AY216" s="113">
        <f>AE216*Valores!$C$51</f>
        <v>4579.2541080000001</v>
      </c>
      <c r="AZ216" s="114"/>
      <c r="BA216" s="114">
        <f t="shared" si="32"/>
        <v>26</v>
      </c>
      <c r="BB216" s="111" t="s">
        <v>8</v>
      </c>
    </row>
    <row r="217" spans="1:54" s="100" customFormat="1" ht="11.25" customHeight="1" x14ac:dyDescent="0.15">
      <c r="A217" s="111" t="s">
        <v>432</v>
      </c>
      <c r="B217" s="111">
        <v>27</v>
      </c>
      <c r="C217" s="114">
        <v>210</v>
      </c>
      <c r="D217" s="112" t="str">
        <f t="shared" si="31"/>
        <v>Hora Cátedra Enseñanza Superior 27 hs</v>
      </c>
      <c r="E217" s="169">
        <v>2673</v>
      </c>
      <c r="F217" s="113">
        <f>ROUND(E217*Valores!$C$2,2)</f>
        <v>261435.44</v>
      </c>
      <c r="G217" s="169">
        <v>0</v>
      </c>
      <c r="H217" s="113">
        <f>ROUND(G217*Valores!$C$2,2)</f>
        <v>0</v>
      </c>
      <c r="I217" s="169">
        <v>0</v>
      </c>
      <c r="J217" s="113">
        <f>ROUND(I217*Valores!$C$2,2)</f>
        <v>0</v>
      </c>
      <c r="K217" s="169">
        <v>0</v>
      </c>
      <c r="L217" s="113">
        <f>ROUND(K217*Valores!$C$2,2)</f>
        <v>0</v>
      </c>
      <c r="M217" s="113">
        <f>ROUND(IF($H$2=0,IF(AND(A217&lt;&gt;"13-930",A217&lt;&gt;"13-940"),(SUM(F217,H217,J217,L217,W217,S217,Q217)*Valores!$C$4),0),0),2)</f>
        <v>84192.58</v>
      </c>
      <c r="N217" s="113">
        <f t="shared" si="36"/>
        <v>0</v>
      </c>
      <c r="O217" s="113">
        <f>Valores!C$65*B217</f>
        <v>179586.99</v>
      </c>
      <c r="P217" s="113">
        <f>ROUND(IF((Valores!$E$5*B217)&lt;=Valores!$F$5,Valores!$E$5*B217,Valores!$F$5),2)</f>
        <v>74997.64</v>
      </c>
      <c r="Q217" s="113">
        <f>IF($F$4="NO",Valores!$C$28*B217,Valores!$C$28*B217/2)</f>
        <v>47170.080000000002</v>
      </c>
      <c r="R217" s="113">
        <f>Valores!$C$7*B217</f>
        <v>28164.780000000002</v>
      </c>
      <c r="S217" s="113">
        <f t="shared" si="41"/>
        <v>28164.78</v>
      </c>
      <c r="T217" s="113">
        <v>0</v>
      </c>
      <c r="U217" s="113">
        <v>0</v>
      </c>
      <c r="V217" s="169">
        <v>0</v>
      </c>
      <c r="W217" s="113">
        <f>ROUND(V217*Valores!$C$2,2)</f>
        <v>0</v>
      </c>
      <c r="X217" s="113">
        <v>0</v>
      </c>
      <c r="Y217" s="188">
        <v>0</v>
      </c>
      <c r="Z217" s="113">
        <f t="shared" si="37"/>
        <v>0</v>
      </c>
      <c r="AA217" s="169">
        <v>0</v>
      </c>
      <c r="AB217" s="113">
        <f>ROUND(AA217*Valores!$C$2,2)</f>
        <v>0</v>
      </c>
      <c r="AC217" s="113">
        <f>ROUND(IF($F$4="NO",Valores!$C$33*B217,Valores!$C$33*B217/2),2)</f>
        <v>42079.99</v>
      </c>
      <c r="AD217" s="113">
        <f>SUM(F217,H217,J217,L217,M217,N217,O217,P217,Q217,S217,T217,U217,W217,X217,Z217,AB217,AC217)*Valores!$C$58</f>
        <v>71762.75</v>
      </c>
      <c r="AE217" s="113">
        <f t="shared" si="38"/>
        <v>789390.25</v>
      </c>
      <c r="AF217" s="113">
        <f>IF(Valores!$C$13*B217&gt;Valores!$F$13,Valores!$F$13,Valores!$C$13*B217)</f>
        <v>65570.399999999994</v>
      </c>
      <c r="AG217" s="113">
        <f>IF((Valores!$C$59/20*B217)&gt;Valores!$C$59,Valores!$C$59,Valores!$C$59/20*B217)</f>
        <v>25000</v>
      </c>
      <c r="AH217" s="113">
        <f t="shared" si="34"/>
        <v>90570.4</v>
      </c>
      <c r="AI217" s="113">
        <f>AE217*Valores!$C$39</f>
        <v>-86832.927500000005</v>
      </c>
      <c r="AJ217" s="113">
        <f>IF(AE217&lt;Valores!$E$40,-0.02,IF(AE217&lt;Valores!$F$40,-0.03,-0.04))*AE217</f>
        <v>-23681.7075</v>
      </c>
      <c r="AK217" s="113">
        <f>AE217*Valores!$C$42</f>
        <v>-43416.463750000003</v>
      </c>
      <c r="AL217" s="113">
        <f>Valores!$C$56</f>
        <v>-1270.1600000000001</v>
      </c>
      <c r="AM217" s="113">
        <f>IF($F$5=0,Valores!$C$57,(Valores!$C$57+$F$5*(Valores!$C$57)))</f>
        <v>-7026</v>
      </c>
      <c r="AN217" s="113">
        <f t="shared" si="39"/>
        <v>717733.39124999999</v>
      </c>
      <c r="AO217" s="113">
        <f t="shared" si="33"/>
        <v>-86832.927500000005</v>
      </c>
      <c r="AP217" s="113">
        <f t="shared" si="40"/>
        <v>-23681.7075</v>
      </c>
      <c r="AQ217" s="113">
        <f>AE217*Valores!$C$43</f>
        <v>-21313.536749999999</v>
      </c>
      <c r="AR217" s="113">
        <f>AE217*Valores!$C$44</f>
        <v>-2368.1707500000002</v>
      </c>
      <c r="AS217" s="113">
        <f t="shared" si="35"/>
        <v>745764.3075</v>
      </c>
      <c r="AT217" s="113">
        <f>AE217*Valores!$C$46</f>
        <v>126302.44</v>
      </c>
      <c r="AU217" s="113">
        <f>AE217*Valores!$C$47</f>
        <v>55257.317500000005</v>
      </c>
      <c r="AV217" s="113">
        <f>AE217*Valores!$C$48</f>
        <v>7893.9025000000001</v>
      </c>
      <c r="AW217" s="113">
        <f>AE217*Valores!$C$50</f>
        <v>27628.658750000002</v>
      </c>
      <c r="AX217" s="113">
        <f>AE217*Valores!$C$52</f>
        <v>42627.073499999999</v>
      </c>
      <c r="AY217" s="113">
        <f>AE217*Valores!$C$51</f>
        <v>4736.3415000000005</v>
      </c>
      <c r="AZ217" s="114"/>
      <c r="BA217" s="114">
        <f t="shared" si="32"/>
        <v>27</v>
      </c>
      <c r="BB217" s="111" t="s">
        <v>8</v>
      </c>
    </row>
    <row r="218" spans="1:54" s="100" customFormat="1" ht="11.25" customHeight="1" x14ac:dyDescent="0.15">
      <c r="A218" s="111" t="s">
        <v>432</v>
      </c>
      <c r="B218" s="111">
        <v>28</v>
      </c>
      <c r="C218" s="114">
        <v>211</v>
      </c>
      <c r="D218" s="112" t="str">
        <f t="shared" si="31"/>
        <v>Hora Cátedra Enseñanza Superior 28 hs</v>
      </c>
      <c r="E218" s="169">
        <v>2772</v>
      </c>
      <c r="F218" s="113">
        <f>ROUND(E218*Valores!$C$2,2)</f>
        <v>271118.23</v>
      </c>
      <c r="G218" s="169">
        <v>0</v>
      </c>
      <c r="H218" s="113">
        <f>ROUND(G218*Valores!$C$2,2)</f>
        <v>0</v>
      </c>
      <c r="I218" s="169">
        <v>0</v>
      </c>
      <c r="J218" s="113">
        <f>ROUND(I218*Valores!$C$2,2)</f>
        <v>0</v>
      </c>
      <c r="K218" s="169">
        <v>0</v>
      </c>
      <c r="L218" s="113">
        <f>ROUND(K218*Valores!$C$2,2)</f>
        <v>0</v>
      </c>
      <c r="M218" s="113">
        <f>ROUND(IF($H$2=0,IF(AND(A218&lt;&gt;"13-930",A218&lt;&gt;"13-940"),(SUM(F218,H218,J218,L218,W218,S218,Q218)*Valores!$C$4),0),0),2)</f>
        <v>87310.82</v>
      </c>
      <c r="N218" s="113">
        <f t="shared" si="36"/>
        <v>0</v>
      </c>
      <c r="O218" s="113">
        <f>Valores!C$65*B218</f>
        <v>186238.36</v>
      </c>
      <c r="P218" s="113">
        <f>ROUND(IF((Valores!$E$5*B218)&lt;=Valores!$F$5,Valores!$E$5*B218,Valores!$F$5),2)</f>
        <v>74997.64</v>
      </c>
      <c r="Q218" s="113">
        <f>IF($F$4="NO",Valores!$C$28*B218,Valores!$C$28*B218/2)</f>
        <v>48917.119999999995</v>
      </c>
      <c r="R218" s="113">
        <f>Valores!$C$7*B218</f>
        <v>29207.920000000002</v>
      </c>
      <c r="S218" s="113">
        <f t="shared" si="41"/>
        <v>29207.919999999998</v>
      </c>
      <c r="T218" s="113">
        <v>0</v>
      </c>
      <c r="U218" s="113">
        <v>0</v>
      </c>
      <c r="V218" s="169">
        <v>0</v>
      </c>
      <c r="W218" s="113">
        <f>ROUND(V218*Valores!$C$2,2)</f>
        <v>0</v>
      </c>
      <c r="X218" s="113">
        <v>0</v>
      </c>
      <c r="Y218" s="188">
        <v>0</v>
      </c>
      <c r="Z218" s="113">
        <f t="shared" si="37"/>
        <v>0</v>
      </c>
      <c r="AA218" s="169">
        <v>0</v>
      </c>
      <c r="AB218" s="113">
        <f>ROUND(AA218*Valores!$C$2,2)</f>
        <v>0</v>
      </c>
      <c r="AC218" s="113">
        <f>ROUND(IF($F$4="NO",Valores!$C$33*B218,Valores!$C$33*B218/2),2)</f>
        <v>43638.5</v>
      </c>
      <c r="AD218" s="113">
        <f>SUM(F218,H218,J218,L218,M218,N218,O218,P218,Q218,S218,T218,U218,W218,X218,Z218,AB218,AC218)*Valores!$C$58</f>
        <v>74142.858999999997</v>
      </c>
      <c r="AE218" s="113">
        <f t="shared" si="38"/>
        <v>815571.44900000002</v>
      </c>
      <c r="AF218" s="113">
        <f>IF(Valores!$C$13*B218&gt;Valores!$F$13,Valores!$F$13,Valores!$C$13*B218)</f>
        <v>67998.933333333334</v>
      </c>
      <c r="AG218" s="113">
        <f>IF((Valores!$C$59/20*B218)&gt;Valores!$C$59,Valores!$C$59,Valores!$C$59/20*B218)</f>
        <v>25000</v>
      </c>
      <c r="AH218" s="113">
        <f t="shared" si="34"/>
        <v>92998.933333333334</v>
      </c>
      <c r="AI218" s="113">
        <f>AE218*Valores!$C$39</f>
        <v>-89712.859389999998</v>
      </c>
      <c r="AJ218" s="113">
        <f>IF(AE218&lt;Valores!$E$40,-0.02,IF(AE218&lt;Valores!$F$40,-0.03,-0.04))*AE218</f>
        <v>-24467.143469999999</v>
      </c>
      <c r="AK218" s="113">
        <f>AE218*Valores!$C$42</f>
        <v>-44856.429694999999</v>
      </c>
      <c r="AL218" s="113">
        <f>Valores!$C$56</f>
        <v>-1270.1600000000001</v>
      </c>
      <c r="AM218" s="113">
        <f>IF($F$5=0,Valores!$C$57,(Valores!$C$57+$F$5*(Valores!$C$57)))</f>
        <v>-7026</v>
      </c>
      <c r="AN218" s="113">
        <f t="shared" si="39"/>
        <v>741237.78977833339</v>
      </c>
      <c r="AO218" s="113">
        <f t="shared" si="33"/>
        <v>-89712.859389999998</v>
      </c>
      <c r="AP218" s="113">
        <f t="shared" si="40"/>
        <v>-24467.143469999999</v>
      </c>
      <c r="AQ218" s="113">
        <f>AE218*Valores!$C$43</f>
        <v>-22020.429123000002</v>
      </c>
      <c r="AR218" s="113">
        <f>AE218*Valores!$C$44</f>
        <v>-2446.7143470000001</v>
      </c>
      <c r="AS218" s="113">
        <f t="shared" si="35"/>
        <v>769923.23600333335</v>
      </c>
      <c r="AT218" s="113">
        <f>AE218*Valores!$C$46</f>
        <v>130491.43184</v>
      </c>
      <c r="AU218" s="113">
        <f>AE218*Valores!$C$47</f>
        <v>57090.001430000004</v>
      </c>
      <c r="AV218" s="113">
        <f>AE218*Valores!$C$48</f>
        <v>8155.7144900000003</v>
      </c>
      <c r="AW218" s="113">
        <f>AE218*Valores!$C$50</f>
        <v>28545.000715000002</v>
      </c>
      <c r="AX218" s="113">
        <f>AE218*Valores!$C$52</f>
        <v>44040.858246000003</v>
      </c>
      <c r="AY218" s="113">
        <f>AE218*Valores!$C$51</f>
        <v>4893.4286940000002</v>
      </c>
      <c r="AZ218" s="114"/>
      <c r="BA218" s="114">
        <f t="shared" si="32"/>
        <v>28</v>
      </c>
      <c r="BB218" s="111" t="s">
        <v>8</v>
      </c>
    </row>
    <row r="219" spans="1:54" s="100" customFormat="1" ht="11.25" customHeight="1" x14ac:dyDescent="0.15">
      <c r="A219" s="111" t="s">
        <v>432</v>
      </c>
      <c r="B219" s="111">
        <v>29</v>
      </c>
      <c r="C219" s="114">
        <v>212</v>
      </c>
      <c r="D219" s="112" t="str">
        <f t="shared" si="31"/>
        <v>Hora Cátedra Enseñanza Superior 29 hs</v>
      </c>
      <c r="E219" s="169">
        <v>2871</v>
      </c>
      <c r="F219" s="113">
        <f>ROUND(E219*Valores!$C$2,2)</f>
        <v>280801.03000000003</v>
      </c>
      <c r="G219" s="169">
        <v>0</v>
      </c>
      <c r="H219" s="113">
        <f>ROUND(G219*Valores!$C$2,2)</f>
        <v>0</v>
      </c>
      <c r="I219" s="169">
        <v>0</v>
      </c>
      <c r="J219" s="113">
        <f>ROUND(I219*Valores!$C$2,2)</f>
        <v>0</v>
      </c>
      <c r="K219" s="169">
        <v>0</v>
      </c>
      <c r="L219" s="113">
        <f>ROUND(K219*Valores!$C$2,2)</f>
        <v>0</v>
      </c>
      <c r="M219" s="113">
        <f>ROUND(IF($H$2=0,IF(AND(A219&lt;&gt;"13-930",A219&lt;&gt;"13-940"),(SUM(F219,H219,J219,L219,W219,S219,Q219)*Valores!$C$4),0),0),2)</f>
        <v>90429.06</v>
      </c>
      <c r="N219" s="113">
        <f t="shared" si="36"/>
        <v>0</v>
      </c>
      <c r="O219" s="113">
        <f>Valores!C$65*B219</f>
        <v>192889.73</v>
      </c>
      <c r="P219" s="113">
        <f>ROUND(IF((Valores!$E$5*B219)&lt;=Valores!$F$5,Valores!$E$5*B219,Valores!$F$5),2)</f>
        <v>74997.64</v>
      </c>
      <c r="Q219" s="113">
        <f>IF($F$4="NO",Valores!$C$28*B219,Valores!$C$28*B219/2)</f>
        <v>50664.159999999996</v>
      </c>
      <c r="R219" s="113">
        <f>Valores!$C$7*B219</f>
        <v>30251.06</v>
      </c>
      <c r="S219" s="113">
        <f t="shared" si="41"/>
        <v>30251.06</v>
      </c>
      <c r="T219" s="113">
        <v>0</v>
      </c>
      <c r="U219" s="113">
        <v>0</v>
      </c>
      <c r="V219" s="169">
        <v>0</v>
      </c>
      <c r="W219" s="113">
        <f>ROUND(V219*Valores!$C$2,2)</f>
        <v>0</v>
      </c>
      <c r="X219" s="113">
        <v>0</v>
      </c>
      <c r="Y219" s="188">
        <v>0</v>
      </c>
      <c r="Z219" s="113">
        <f t="shared" si="37"/>
        <v>0</v>
      </c>
      <c r="AA219" s="169">
        <v>0</v>
      </c>
      <c r="AB219" s="113">
        <f>ROUND(AA219*Valores!$C$2,2)</f>
        <v>0</v>
      </c>
      <c r="AC219" s="113">
        <f>ROUND(IF($F$4="NO",Valores!$C$33*B219,Valores!$C$33*B219/2),2)</f>
        <v>45197.02</v>
      </c>
      <c r="AD219" s="113">
        <f>SUM(F219,H219,J219,L219,M219,N219,O219,P219,Q219,S219,T219,U219,W219,X219,Z219,AB219,AC219)*Valores!$C$58</f>
        <v>76522.970000000016</v>
      </c>
      <c r="AE219" s="113">
        <f t="shared" si="38"/>
        <v>841752.67000000016</v>
      </c>
      <c r="AF219" s="113">
        <f>IF(Valores!$C$13*B219&gt;Valores!$F$13,Valores!$F$13,Valores!$C$13*B219)</f>
        <v>70427.46666666666</v>
      </c>
      <c r="AG219" s="113">
        <f>IF((Valores!$C$59/20*B219)&gt;Valores!$C$59,Valores!$C$59,Valores!$C$59/20*B219)</f>
        <v>25000</v>
      </c>
      <c r="AH219" s="113">
        <f t="shared" si="34"/>
        <v>95427.46666666666</v>
      </c>
      <c r="AI219" s="113">
        <f>AE219*Valores!$C$39</f>
        <v>-92592.793700000024</v>
      </c>
      <c r="AJ219" s="113">
        <f>IF(AE219&lt;Valores!$E$40,-0.02,IF(AE219&lt;Valores!$F$40,-0.03,-0.04))*AE219</f>
        <v>-25252.580100000003</v>
      </c>
      <c r="AK219" s="113">
        <f>AE219*Valores!$C$42</f>
        <v>-46296.396850000012</v>
      </c>
      <c r="AL219" s="113">
        <f>Valores!$C$56</f>
        <v>-1270.1600000000001</v>
      </c>
      <c r="AM219" s="113">
        <f>IF($F$5=0,Valores!$C$57,(Valores!$C$57+$F$5*(Valores!$C$57)))</f>
        <v>-7026</v>
      </c>
      <c r="AN219" s="113">
        <f t="shared" si="39"/>
        <v>764742.20601666672</v>
      </c>
      <c r="AO219" s="113">
        <f t="shared" si="33"/>
        <v>-92592.793700000024</v>
      </c>
      <c r="AP219" s="113">
        <f t="shared" si="40"/>
        <v>-25252.580100000003</v>
      </c>
      <c r="AQ219" s="113">
        <f>AE219*Valores!$C$43</f>
        <v>-22727.322090000005</v>
      </c>
      <c r="AR219" s="113">
        <f>AE219*Valores!$C$44</f>
        <v>-2525.2580100000005</v>
      </c>
      <c r="AS219" s="113">
        <f t="shared" si="35"/>
        <v>794082.18276666687</v>
      </c>
      <c r="AT219" s="113">
        <f>AE219*Valores!$C$46</f>
        <v>134680.42720000003</v>
      </c>
      <c r="AU219" s="113">
        <f>AE219*Valores!$C$47</f>
        <v>58922.686900000015</v>
      </c>
      <c r="AV219" s="113">
        <f>AE219*Valores!$C$48</f>
        <v>8417.5267000000022</v>
      </c>
      <c r="AW219" s="113">
        <f>AE219*Valores!$C$50</f>
        <v>29461.343450000008</v>
      </c>
      <c r="AX219" s="113">
        <f>AE219*Valores!$C$52</f>
        <v>45454.64418000001</v>
      </c>
      <c r="AY219" s="113">
        <f>AE219*Valores!$C$51</f>
        <v>5050.5160200000009</v>
      </c>
      <c r="AZ219" s="114"/>
      <c r="BA219" s="114">
        <f t="shared" si="32"/>
        <v>29</v>
      </c>
      <c r="BB219" s="111" t="s">
        <v>8</v>
      </c>
    </row>
    <row r="220" spans="1:54" s="100" customFormat="1" ht="11.25" customHeight="1" x14ac:dyDescent="0.15">
      <c r="A220" s="111" t="s">
        <v>432</v>
      </c>
      <c r="B220" s="111">
        <v>30</v>
      </c>
      <c r="C220" s="114">
        <v>213</v>
      </c>
      <c r="D220" s="112" t="str">
        <f t="shared" si="31"/>
        <v>Hora Cátedra Enseñanza Superior 30 hs</v>
      </c>
      <c r="E220" s="169">
        <v>2970</v>
      </c>
      <c r="F220" s="113">
        <f>ROUND(E220*Valores!$C$2,2)</f>
        <v>290483.82</v>
      </c>
      <c r="G220" s="169">
        <v>0</v>
      </c>
      <c r="H220" s="113">
        <f>ROUND(G220*Valores!$C$2,2)</f>
        <v>0</v>
      </c>
      <c r="I220" s="169">
        <v>0</v>
      </c>
      <c r="J220" s="113">
        <f>ROUND(I220*Valores!$C$2,2)</f>
        <v>0</v>
      </c>
      <c r="K220" s="169">
        <v>0</v>
      </c>
      <c r="L220" s="113">
        <f>ROUND(K220*Valores!$C$2,2)</f>
        <v>0</v>
      </c>
      <c r="M220" s="113">
        <f>ROUND(IF($H$2=0,IF(AND(A220&lt;&gt;"13-930",A220&lt;&gt;"13-940"),(SUM(F220,H220,J220,L220,W220,S220,Q220)*Valores!$C$4),0),0),2)</f>
        <v>93547.31</v>
      </c>
      <c r="N220" s="113">
        <f t="shared" si="36"/>
        <v>0</v>
      </c>
      <c r="O220" s="113">
        <f>Valores!C$65*B220</f>
        <v>199541.1</v>
      </c>
      <c r="P220" s="113">
        <f>ROUND(IF((Valores!$E$5*B220)&lt;=Valores!$F$5,Valores!$E$5*B220,Valores!$F$5),2)</f>
        <v>74997.64</v>
      </c>
      <c r="Q220" s="113">
        <f>IF($F$4="NO",Valores!$C$28*B220,Valores!$C$28*B220/2)</f>
        <v>52411.199999999997</v>
      </c>
      <c r="R220" s="113">
        <f>Valores!$C$7*B220</f>
        <v>31294.200000000004</v>
      </c>
      <c r="S220" s="113">
        <f t="shared" si="41"/>
        <v>31294.2</v>
      </c>
      <c r="T220" s="113">
        <v>0</v>
      </c>
      <c r="U220" s="113">
        <v>0</v>
      </c>
      <c r="V220" s="169">
        <v>0</v>
      </c>
      <c r="W220" s="113">
        <f>ROUND(V220*Valores!$C$2,2)</f>
        <v>0</v>
      </c>
      <c r="X220" s="113">
        <v>0</v>
      </c>
      <c r="Y220" s="188">
        <v>0</v>
      </c>
      <c r="Z220" s="113">
        <f t="shared" si="37"/>
        <v>0</v>
      </c>
      <c r="AA220" s="169">
        <v>0</v>
      </c>
      <c r="AB220" s="113">
        <f>ROUND(AA220*Valores!$C$2,2)</f>
        <v>0</v>
      </c>
      <c r="AC220" s="113">
        <f>ROUND(IF($F$4="NO",Valores!$C$33*B220,Valores!$C$33*B220/2),2)</f>
        <v>46755.54</v>
      </c>
      <c r="AD220" s="113">
        <f>SUM(F220,H220,J220,L220,M220,N220,O220,P220,Q220,S220,T220,U220,W220,X220,Z220,AB220,AC220)*Valores!$C$58</f>
        <v>78903.081000000006</v>
      </c>
      <c r="AE220" s="113">
        <f t="shared" si="38"/>
        <v>867933.89099999995</v>
      </c>
      <c r="AF220" s="113">
        <f>IF(Valores!$C$13*B220&gt;Valores!$F$13,Valores!$F$13,Valores!$C$13*B220)</f>
        <v>72856</v>
      </c>
      <c r="AG220" s="113">
        <f>IF((Valores!$C$59/20*B220)&gt;Valores!$C$59,Valores!$C$59,Valores!$C$59/20*B220)</f>
        <v>25000</v>
      </c>
      <c r="AH220" s="113">
        <f t="shared" si="34"/>
        <v>97856</v>
      </c>
      <c r="AI220" s="113">
        <f>AE220*Valores!$C$39</f>
        <v>-95472.728009999992</v>
      </c>
      <c r="AJ220" s="113">
        <f>IF(AE220&lt;Valores!$E$40,-0.02,IF(AE220&lt;Valores!$F$40,-0.03,-0.04))*AE220</f>
        <v>-26038.016729999996</v>
      </c>
      <c r="AK220" s="113">
        <f>AE220*Valores!$C$42</f>
        <v>-47736.364004999996</v>
      </c>
      <c r="AL220" s="113">
        <f>Valores!$C$56</f>
        <v>-1270.1600000000001</v>
      </c>
      <c r="AM220" s="113">
        <f>IF($F$5=0,Valores!$C$57,(Valores!$C$57+$F$5*(Valores!$C$57)))</f>
        <v>-7026</v>
      </c>
      <c r="AN220" s="113">
        <f t="shared" si="39"/>
        <v>788246.62225499994</v>
      </c>
      <c r="AO220" s="113">
        <f t="shared" si="33"/>
        <v>-95472.728009999992</v>
      </c>
      <c r="AP220" s="113">
        <f t="shared" si="40"/>
        <v>-26038.016729999996</v>
      </c>
      <c r="AQ220" s="113">
        <f>AE220*Valores!$C$43</f>
        <v>-23434.215056999998</v>
      </c>
      <c r="AR220" s="113">
        <f>AE220*Valores!$C$44</f>
        <v>-2603.8016729999999</v>
      </c>
      <c r="AS220" s="113">
        <f t="shared" si="35"/>
        <v>818241.12952999992</v>
      </c>
      <c r="AT220" s="113">
        <f>AE220*Valores!$C$46</f>
        <v>138869.42256000001</v>
      </c>
      <c r="AU220" s="113">
        <f>AE220*Valores!$C$47</f>
        <v>60755.372370000005</v>
      </c>
      <c r="AV220" s="113">
        <f>AE220*Valores!$C$48</f>
        <v>8679.3389100000004</v>
      </c>
      <c r="AW220" s="113">
        <f>AE220*Valores!$C$50</f>
        <v>30377.686185000002</v>
      </c>
      <c r="AX220" s="113">
        <f>AE220*Valores!$C$52</f>
        <v>46868.430113999995</v>
      </c>
      <c r="AY220" s="113">
        <f>AE220*Valores!$C$51</f>
        <v>5207.6033459999999</v>
      </c>
      <c r="AZ220" s="114"/>
      <c r="BA220" s="114">
        <f t="shared" si="32"/>
        <v>30</v>
      </c>
      <c r="BB220" s="111" t="s">
        <v>4</v>
      </c>
    </row>
    <row r="221" spans="1:54" s="100" customFormat="1" ht="11.25" customHeight="1" x14ac:dyDescent="0.15">
      <c r="A221" s="111" t="s">
        <v>432</v>
      </c>
      <c r="B221" s="111">
        <v>31</v>
      </c>
      <c r="C221" s="114">
        <v>214</v>
      </c>
      <c r="D221" s="112" t="str">
        <f t="shared" si="31"/>
        <v>Hora Cátedra Enseñanza Superior 31 hs</v>
      </c>
      <c r="E221" s="169">
        <v>3069</v>
      </c>
      <c r="F221" s="113">
        <f>ROUND(E221*Valores!$C$2,2)</f>
        <v>300166.61</v>
      </c>
      <c r="G221" s="169">
        <v>0</v>
      </c>
      <c r="H221" s="113">
        <f>ROUND(G221*Valores!$C$2,2)</f>
        <v>0</v>
      </c>
      <c r="I221" s="169">
        <v>0</v>
      </c>
      <c r="J221" s="113">
        <f>ROUND(I221*Valores!$C$2,2)</f>
        <v>0</v>
      </c>
      <c r="K221" s="169">
        <v>0</v>
      </c>
      <c r="L221" s="113">
        <f>ROUND(K221*Valores!$C$2,2)</f>
        <v>0</v>
      </c>
      <c r="M221" s="113">
        <f>ROUND(IF($H$2=0,IF(AND(A221&lt;&gt;"13-930",A221&lt;&gt;"13-940"),(SUM(F221,H221,J221,L221,W221,S221,Q221)*Valores!$C$4),0),0),2)</f>
        <v>96665.55</v>
      </c>
      <c r="N221" s="113">
        <f t="shared" si="36"/>
        <v>0</v>
      </c>
      <c r="O221" s="113">
        <f>Valores!C$65*B221</f>
        <v>206192.47</v>
      </c>
      <c r="P221" s="113">
        <f>ROUND(IF((Valores!$E$5*B221)&lt;=Valores!$F$5,Valores!$E$5*B221,Valores!$F$5),2)</f>
        <v>74997.64</v>
      </c>
      <c r="Q221" s="113">
        <f>IF($F$4="NO",Valores!$C$28*B221,Valores!$C$28*B221/2)</f>
        <v>54158.239999999998</v>
      </c>
      <c r="R221" s="113">
        <f>Valores!$C$7*B221</f>
        <v>32337.340000000004</v>
      </c>
      <c r="S221" s="113">
        <f t="shared" si="41"/>
        <v>32337.34</v>
      </c>
      <c r="T221" s="113">
        <v>0</v>
      </c>
      <c r="U221" s="113">
        <v>0</v>
      </c>
      <c r="V221" s="169">
        <v>0</v>
      </c>
      <c r="W221" s="113">
        <f>ROUND(V221*Valores!$C$2,2)</f>
        <v>0</v>
      </c>
      <c r="X221" s="113">
        <v>0</v>
      </c>
      <c r="Y221" s="188">
        <v>0</v>
      </c>
      <c r="Z221" s="113">
        <f t="shared" si="37"/>
        <v>0</v>
      </c>
      <c r="AA221" s="169">
        <v>0</v>
      </c>
      <c r="AB221" s="113">
        <f>ROUND(AA221*Valores!$C$2,2)</f>
        <v>0</v>
      </c>
      <c r="AC221" s="113">
        <f>ROUND(IF($F$4="NO",Valores!$C$33*B221,Valores!$C$33*B221/2),2)</f>
        <v>48314.06</v>
      </c>
      <c r="AD221" s="113">
        <f>SUM(F221,H221,J221,L221,M221,N221,O221,P221,Q221,S221,T221,U221,W221,X221,Z221,AB221,AC221)*Valores!$C$58</f>
        <v>81283.190999999992</v>
      </c>
      <c r="AE221" s="113">
        <f t="shared" si="38"/>
        <v>894115.10099999991</v>
      </c>
      <c r="AF221" s="113">
        <f>IF(Valores!$C$13*B221&gt;Valores!$F$13,Valores!$F$13,Valores!$C$13*B221)</f>
        <v>72856</v>
      </c>
      <c r="AG221" s="113">
        <f>IF((Valores!$C$59/20*B221)&gt;Valores!$C$59,Valores!$C$59,Valores!$C$59/20*B221)</f>
        <v>25000</v>
      </c>
      <c r="AH221" s="113">
        <f t="shared" si="34"/>
        <v>97856</v>
      </c>
      <c r="AI221" s="113">
        <f>AE221*Valores!$C$39</f>
        <v>-98352.661109999986</v>
      </c>
      <c r="AJ221" s="113">
        <f>IF(AE221&lt;Valores!$E$40,-0.02,IF(AE221&lt;Valores!$F$40,-0.03,-0.04))*AE221</f>
        <v>-26823.453029999997</v>
      </c>
      <c r="AK221" s="113">
        <f>AE221*Valores!$C$42</f>
        <v>-49176.330554999993</v>
      </c>
      <c r="AL221" s="113">
        <f>Valores!$C$56</f>
        <v>-1270.1600000000001</v>
      </c>
      <c r="AM221" s="113">
        <f>IF($F$5=0,Valores!$C$57,(Valores!$C$57+$F$5*(Valores!$C$57)))</f>
        <v>-7026</v>
      </c>
      <c r="AN221" s="113">
        <f t="shared" si="39"/>
        <v>809322.49630499992</v>
      </c>
      <c r="AO221" s="113">
        <f t="shared" si="33"/>
        <v>-98352.661109999986</v>
      </c>
      <c r="AP221" s="113">
        <f t="shared" si="40"/>
        <v>-26823.453029999997</v>
      </c>
      <c r="AQ221" s="113">
        <f>AE221*Valores!$C$43</f>
        <v>-24141.107726999999</v>
      </c>
      <c r="AR221" s="113">
        <f>AE221*Valores!$C$44</f>
        <v>-2682.3453029999996</v>
      </c>
      <c r="AS221" s="113">
        <f t="shared" si="35"/>
        <v>839971.53382999985</v>
      </c>
      <c r="AT221" s="113">
        <f>AE221*Valores!$C$46</f>
        <v>143058.41615999999</v>
      </c>
      <c r="AU221" s="113">
        <f>AE221*Valores!$C$47</f>
        <v>62588.057070000003</v>
      </c>
      <c r="AV221" s="113">
        <f>AE221*Valores!$C$48</f>
        <v>8941.1510099999996</v>
      </c>
      <c r="AW221" s="113">
        <f>AE221*Valores!$C$50</f>
        <v>31294.028535000001</v>
      </c>
      <c r="AX221" s="113">
        <f>AE221*Valores!$C$52</f>
        <v>48282.215453999997</v>
      </c>
      <c r="AY221" s="113">
        <f>AE221*Valores!$C$51</f>
        <v>5364.6906059999992</v>
      </c>
      <c r="AZ221" s="114"/>
      <c r="BA221" s="114">
        <f t="shared" si="32"/>
        <v>31</v>
      </c>
      <c r="BB221" s="111" t="s">
        <v>8</v>
      </c>
    </row>
    <row r="222" spans="1:54" s="100" customFormat="1" ht="11.25" customHeight="1" x14ac:dyDescent="0.15">
      <c r="A222" s="111" t="s">
        <v>432</v>
      </c>
      <c r="B222" s="111">
        <v>32</v>
      </c>
      <c r="C222" s="114">
        <v>215</v>
      </c>
      <c r="D222" s="112" t="str">
        <f t="shared" si="31"/>
        <v>Hora Cátedra Enseñanza Superior 32 hs</v>
      </c>
      <c r="E222" s="169">
        <v>3168</v>
      </c>
      <c r="F222" s="113">
        <f>ROUND(E222*Valores!$C$2,2)</f>
        <v>309849.40999999997</v>
      </c>
      <c r="G222" s="169">
        <v>0</v>
      </c>
      <c r="H222" s="113">
        <f>ROUND(G222*Valores!$C$2,2)</f>
        <v>0</v>
      </c>
      <c r="I222" s="169">
        <v>0</v>
      </c>
      <c r="J222" s="113">
        <f>ROUND(I222*Valores!$C$2,2)</f>
        <v>0</v>
      </c>
      <c r="K222" s="169">
        <v>0</v>
      </c>
      <c r="L222" s="113">
        <f>ROUND(K222*Valores!$C$2,2)</f>
        <v>0</v>
      </c>
      <c r="M222" s="113">
        <f>ROUND(IF($H$2=0,IF(AND(A222&lt;&gt;"13-930",A222&lt;&gt;"13-940"),(SUM(F222,H222,J222,L222,W222,S222,Q222)*Valores!$C$4),0),0),2)</f>
        <v>99783.79</v>
      </c>
      <c r="N222" s="113">
        <f t="shared" si="36"/>
        <v>0</v>
      </c>
      <c r="O222" s="113">
        <f>Valores!C$65*B222</f>
        <v>212843.84</v>
      </c>
      <c r="P222" s="113">
        <f>ROUND(IF((Valores!$E$5*B222)&lt;=Valores!$F$5,Valores!$E$5*B222,Valores!$F$5),2)</f>
        <v>74997.64</v>
      </c>
      <c r="Q222" s="113">
        <f>IF($F$4="NO",Valores!$C$28*B222,Valores!$C$28*B222/2)</f>
        <v>55905.279999999999</v>
      </c>
      <c r="R222" s="113">
        <f>Valores!$C$7*B222</f>
        <v>33380.480000000003</v>
      </c>
      <c r="S222" s="113">
        <f t="shared" si="41"/>
        <v>33380.480000000003</v>
      </c>
      <c r="T222" s="113">
        <v>0</v>
      </c>
      <c r="U222" s="113">
        <v>0</v>
      </c>
      <c r="V222" s="169">
        <v>0</v>
      </c>
      <c r="W222" s="113">
        <f>ROUND(V222*Valores!$C$2,2)</f>
        <v>0</v>
      </c>
      <c r="X222" s="113">
        <v>0</v>
      </c>
      <c r="Y222" s="188">
        <v>0</v>
      </c>
      <c r="Z222" s="113">
        <f t="shared" si="37"/>
        <v>0</v>
      </c>
      <c r="AA222" s="169">
        <v>0</v>
      </c>
      <c r="AB222" s="113">
        <f>ROUND(AA222*Valores!$C$2,2)</f>
        <v>0</v>
      </c>
      <c r="AC222" s="113">
        <f>ROUND(IF($F$4="NO",Valores!$C$33*B222,Valores!$C$33*B222/2),2)</f>
        <v>49872.58</v>
      </c>
      <c r="AD222" s="113">
        <f>SUM(F222,H222,J222,L222,M222,N222,O222,P222,Q222,S222,T222,U222,W222,X222,Z222,AB222,AC222)*Valores!$C$58</f>
        <v>83663.301999999996</v>
      </c>
      <c r="AE222" s="113">
        <f t="shared" si="38"/>
        <v>920296.32199999993</v>
      </c>
      <c r="AF222" s="113">
        <f>IF(Valores!$C$13*B222&gt;Valores!$F$13,Valores!$F$13,Valores!$C$13*B222)</f>
        <v>72856</v>
      </c>
      <c r="AG222" s="113">
        <f>IF((Valores!$C$59/20*B222)&gt;Valores!$C$59,Valores!$C$59,Valores!$C$59/20*B222)</f>
        <v>25000</v>
      </c>
      <c r="AH222" s="113">
        <f t="shared" si="34"/>
        <v>97856</v>
      </c>
      <c r="AI222" s="113">
        <f>AE222*Valores!$C$39</f>
        <v>-101232.59542</v>
      </c>
      <c r="AJ222" s="113">
        <f>IF(AE222&lt;Valores!$E$40,-0.02,IF(AE222&lt;Valores!$F$40,-0.03,-0.04))*AE222</f>
        <v>-27608.889659999997</v>
      </c>
      <c r="AK222" s="113">
        <f>AE222*Valores!$C$42</f>
        <v>-50616.297709999999</v>
      </c>
      <c r="AL222" s="113">
        <f>Valores!$C$56</f>
        <v>-1270.1600000000001</v>
      </c>
      <c r="AM222" s="113">
        <f>IF($F$5=0,Valores!$C$57,(Valores!$C$57+$F$5*(Valores!$C$57)))</f>
        <v>-7026</v>
      </c>
      <c r="AN222" s="113">
        <f t="shared" si="39"/>
        <v>830398.37920999993</v>
      </c>
      <c r="AO222" s="113">
        <f t="shared" si="33"/>
        <v>-101232.59542</v>
      </c>
      <c r="AP222" s="113">
        <f t="shared" si="40"/>
        <v>-27608.889659999997</v>
      </c>
      <c r="AQ222" s="113">
        <f>AE222*Valores!$C$43</f>
        <v>-24848.000693999998</v>
      </c>
      <c r="AR222" s="113">
        <f>AE222*Valores!$C$44</f>
        <v>-2760.888966</v>
      </c>
      <c r="AS222" s="113">
        <f t="shared" si="35"/>
        <v>861701.94725999993</v>
      </c>
      <c r="AT222" s="113">
        <f>AE222*Valores!$C$46</f>
        <v>147247.41151999999</v>
      </c>
      <c r="AU222" s="113">
        <f>AE222*Valores!$C$47</f>
        <v>64420.742539999999</v>
      </c>
      <c r="AV222" s="113">
        <f>AE222*Valores!$C$48</f>
        <v>9202.9632199999996</v>
      </c>
      <c r="AW222" s="113">
        <f>AE222*Valores!$C$50</f>
        <v>32210.37127</v>
      </c>
      <c r="AX222" s="113">
        <f>AE222*Valores!$C$52</f>
        <v>49696.001387999997</v>
      </c>
      <c r="AY222" s="113">
        <f>AE222*Valores!$C$51</f>
        <v>5521.777932</v>
      </c>
      <c r="AZ222" s="114"/>
      <c r="BA222" s="114">
        <f t="shared" si="32"/>
        <v>32</v>
      </c>
      <c r="BB222" s="111" t="s">
        <v>8</v>
      </c>
    </row>
    <row r="223" spans="1:54" s="100" customFormat="1" ht="11.25" customHeight="1" x14ac:dyDescent="0.15">
      <c r="A223" s="111" t="s">
        <v>432</v>
      </c>
      <c r="B223" s="111">
        <v>33</v>
      </c>
      <c r="C223" s="114">
        <v>216</v>
      </c>
      <c r="D223" s="112" t="str">
        <f t="shared" si="31"/>
        <v>Hora Cátedra Enseñanza Superior 33 hs</v>
      </c>
      <c r="E223" s="169">
        <v>3267</v>
      </c>
      <c r="F223" s="113">
        <f>ROUND(E223*Valores!$C$2,2)</f>
        <v>319532.2</v>
      </c>
      <c r="G223" s="169">
        <v>0</v>
      </c>
      <c r="H223" s="113">
        <f>ROUND(G223*Valores!$C$2,2)</f>
        <v>0</v>
      </c>
      <c r="I223" s="169">
        <v>0</v>
      </c>
      <c r="J223" s="113">
        <f>ROUND(I223*Valores!$C$2,2)</f>
        <v>0</v>
      </c>
      <c r="K223" s="169">
        <v>0</v>
      </c>
      <c r="L223" s="113">
        <f>ROUND(K223*Valores!$C$2,2)</f>
        <v>0</v>
      </c>
      <c r="M223" s="113">
        <f>ROUND(IF($H$2=0,IF(AND(A223&lt;&gt;"13-930",A223&lt;&gt;"13-940"),(SUM(F223,H223,J223,L223,W223,S223,Q223)*Valores!$C$4),0),0),2)</f>
        <v>102902.04</v>
      </c>
      <c r="N223" s="113">
        <f t="shared" si="36"/>
        <v>0</v>
      </c>
      <c r="O223" s="113">
        <f>Valores!C$65*B223</f>
        <v>219495.21</v>
      </c>
      <c r="P223" s="113">
        <f>ROUND(IF((Valores!$E$5*B223)&lt;=Valores!$F$5,Valores!$E$5*B223,Valores!$F$5),2)</f>
        <v>74997.64</v>
      </c>
      <c r="Q223" s="113">
        <f>IF($F$4="NO",Valores!$C$28*B223,Valores!$C$28*B223/2)</f>
        <v>57652.32</v>
      </c>
      <c r="R223" s="113">
        <f>Valores!$C$7*B223</f>
        <v>34423.620000000003</v>
      </c>
      <c r="S223" s="113">
        <f t="shared" si="41"/>
        <v>34423.620000000003</v>
      </c>
      <c r="T223" s="113">
        <v>0</v>
      </c>
      <c r="U223" s="113">
        <v>0</v>
      </c>
      <c r="V223" s="169">
        <v>0</v>
      </c>
      <c r="W223" s="113">
        <f>ROUND(V223*Valores!$C$2,2)</f>
        <v>0</v>
      </c>
      <c r="X223" s="113">
        <v>0</v>
      </c>
      <c r="Y223" s="188">
        <v>0</v>
      </c>
      <c r="Z223" s="113">
        <f t="shared" si="37"/>
        <v>0</v>
      </c>
      <c r="AA223" s="169">
        <v>0</v>
      </c>
      <c r="AB223" s="113">
        <f>ROUND(AA223*Valores!$C$2,2)</f>
        <v>0</v>
      </c>
      <c r="AC223" s="113">
        <f>ROUND(IF($F$4="NO",Valores!$C$33*B223,Valores!$C$33*B223/2),2)</f>
        <v>51431.09</v>
      </c>
      <c r="AD223" s="113">
        <f>SUM(F223,H223,J223,L223,M223,N223,O223,P223,Q223,S223,T223,U223,W223,X223,Z223,AB223,AC223)*Valores!$C$58</f>
        <v>86043.411999999997</v>
      </c>
      <c r="AE223" s="113">
        <f t="shared" si="38"/>
        <v>946477.53199999989</v>
      </c>
      <c r="AF223" s="113">
        <f>IF(Valores!$C$13*B223&gt;Valores!$F$13,Valores!$F$13,Valores!$C$13*B223)</f>
        <v>72856</v>
      </c>
      <c r="AG223" s="113">
        <f>IF((Valores!$C$59/20*B223)&gt;Valores!$C$59,Valores!$C$59,Valores!$C$59/20*B223)</f>
        <v>25000</v>
      </c>
      <c r="AH223" s="113">
        <f t="shared" si="34"/>
        <v>97856</v>
      </c>
      <c r="AI223" s="113">
        <f>AE223*Valores!$C$39</f>
        <v>-104112.52851999999</v>
      </c>
      <c r="AJ223" s="113">
        <f>IF(AE223&lt;Valores!$E$40,-0.02,IF(AE223&lt;Valores!$F$40,-0.03,-0.04))*AE223</f>
        <v>-28394.325959999995</v>
      </c>
      <c r="AK223" s="113">
        <f>AE223*Valores!$C$42</f>
        <v>-52056.264259999996</v>
      </c>
      <c r="AL223" s="113">
        <f>Valores!$C$56</f>
        <v>-1270.1600000000001</v>
      </c>
      <c r="AM223" s="113">
        <f>IF($F$5=0,Valores!$C$57,(Valores!$C$57+$F$5*(Valores!$C$57)))</f>
        <v>-7026</v>
      </c>
      <c r="AN223" s="113">
        <f t="shared" si="39"/>
        <v>851474.25325999991</v>
      </c>
      <c r="AO223" s="113">
        <f t="shared" si="33"/>
        <v>-104112.52851999999</v>
      </c>
      <c r="AP223" s="113">
        <f t="shared" si="40"/>
        <v>-28394.325959999995</v>
      </c>
      <c r="AQ223" s="113">
        <f>AE223*Valores!$C$43</f>
        <v>-25554.893363999996</v>
      </c>
      <c r="AR223" s="113">
        <f>AE223*Valores!$C$44</f>
        <v>-2839.4325959999996</v>
      </c>
      <c r="AS223" s="113">
        <f t="shared" si="35"/>
        <v>883432.35155999986</v>
      </c>
      <c r="AT223" s="113">
        <f>AE223*Valores!$C$46</f>
        <v>151436.40511999998</v>
      </c>
      <c r="AU223" s="113">
        <f>AE223*Valores!$C$47</f>
        <v>66253.427240000005</v>
      </c>
      <c r="AV223" s="113">
        <f>AE223*Valores!$C$48</f>
        <v>9464.7753199999988</v>
      </c>
      <c r="AW223" s="113">
        <f>AE223*Valores!$C$50</f>
        <v>33126.713620000002</v>
      </c>
      <c r="AX223" s="113">
        <f>AE223*Valores!$C$52</f>
        <v>51109.786727999992</v>
      </c>
      <c r="AY223" s="113">
        <f>AE223*Valores!$C$51</f>
        <v>5678.8651919999993</v>
      </c>
      <c r="AZ223" s="114"/>
      <c r="BA223" s="114">
        <f t="shared" ref="BA223:BA254" si="42">1*B223</f>
        <v>33</v>
      </c>
      <c r="BB223" s="111" t="s">
        <v>8</v>
      </c>
    </row>
    <row r="224" spans="1:54" s="100" customFormat="1" ht="11.25" customHeight="1" x14ac:dyDescent="0.15">
      <c r="A224" s="111" t="s">
        <v>432</v>
      </c>
      <c r="B224" s="111">
        <v>34</v>
      </c>
      <c r="C224" s="114">
        <v>217</v>
      </c>
      <c r="D224" s="112" t="str">
        <f t="shared" si="31"/>
        <v>Hora Cátedra Enseñanza Superior 34 hs</v>
      </c>
      <c r="E224" s="169">
        <v>3366</v>
      </c>
      <c r="F224" s="113">
        <f>ROUND(E224*Valores!$C$2,2)</f>
        <v>329215</v>
      </c>
      <c r="G224" s="169">
        <v>0</v>
      </c>
      <c r="H224" s="113">
        <f>ROUND(G224*Valores!$C$2,2)</f>
        <v>0</v>
      </c>
      <c r="I224" s="169">
        <v>0</v>
      </c>
      <c r="J224" s="113">
        <f>ROUND(I224*Valores!$C$2,2)</f>
        <v>0</v>
      </c>
      <c r="K224" s="169">
        <v>0</v>
      </c>
      <c r="L224" s="113">
        <f>ROUND(K224*Valores!$C$2,2)</f>
        <v>0</v>
      </c>
      <c r="M224" s="113">
        <f>ROUND(IF($H$2=0,IF(AND(A224&lt;&gt;"13-930",A224&lt;&gt;"13-940"),(SUM(F224,H224,J224,L224,W224,S224,Q224)*Valores!$C$4),0),0),2)</f>
        <v>106020.28</v>
      </c>
      <c r="N224" s="113">
        <f t="shared" si="36"/>
        <v>0</v>
      </c>
      <c r="O224" s="113">
        <f>Valores!C$65*B224</f>
        <v>226146.58</v>
      </c>
      <c r="P224" s="113">
        <f>ROUND(IF((Valores!$E$5*B224)&lt;=Valores!$F$5,Valores!$E$5*B224,Valores!$F$5),2)</f>
        <v>74997.64</v>
      </c>
      <c r="Q224" s="113">
        <f>IF($F$4="NO",Valores!$C$28*B224,Valores!$C$28*B224/2)</f>
        <v>59399.360000000001</v>
      </c>
      <c r="R224" s="113">
        <f>Valores!$C$7*B224</f>
        <v>35466.76</v>
      </c>
      <c r="S224" s="113">
        <f t="shared" si="41"/>
        <v>35466.76</v>
      </c>
      <c r="T224" s="113">
        <v>0</v>
      </c>
      <c r="U224" s="113">
        <v>0</v>
      </c>
      <c r="V224" s="169">
        <v>0</v>
      </c>
      <c r="W224" s="113">
        <f>ROUND(V224*Valores!$C$2,2)</f>
        <v>0</v>
      </c>
      <c r="X224" s="113">
        <v>0</v>
      </c>
      <c r="Y224" s="188">
        <v>0</v>
      </c>
      <c r="Z224" s="113">
        <f t="shared" si="37"/>
        <v>0</v>
      </c>
      <c r="AA224" s="169">
        <v>0</v>
      </c>
      <c r="AB224" s="113">
        <f>ROUND(AA224*Valores!$C$2,2)</f>
        <v>0</v>
      </c>
      <c r="AC224" s="113">
        <f>ROUND(IF($F$4="NO",Valores!$C$33*B224,Valores!$C$33*B224/2),2)</f>
        <v>52989.61</v>
      </c>
      <c r="AD224" s="113">
        <f>SUM(F224,H224,J224,L224,M224,N224,O224,P224,Q224,S224,T224,U224,W224,X224,Z224,AB224,AC224)*Valores!$C$58</f>
        <v>88423.523000000001</v>
      </c>
      <c r="AE224" s="113">
        <f t="shared" si="38"/>
        <v>972658.75300000003</v>
      </c>
      <c r="AF224" s="113">
        <f>IF(Valores!$C$13*B224&gt;Valores!$F$13,Valores!$F$13,Valores!$C$13*B224)</f>
        <v>72856</v>
      </c>
      <c r="AG224" s="113">
        <f>IF((Valores!$C$59/20*B224)&gt;Valores!$C$59,Valores!$C$59,Valores!$C$59/20*B224)</f>
        <v>25000</v>
      </c>
      <c r="AH224" s="113">
        <f t="shared" si="34"/>
        <v>97856</v>
      </c>
      <c r="AI224" s="113">
        <f>AE224*Valores!$C$39</f>
        <v>-106992.46283</v>
      </c>
      <c r="AJ224" s="113">
        <f>IF(AE224&lt;Valores!$E$40,-0.02,IF(AE224&lt;Valores!$F$40,-0.03,-0.04))*AE224</f>
        <v>-29179.762589999998</v>
      </c>
      <c r="AK224" s="113">
        <f>AE224*Valores!$C$42</f>
        <v>-53496.231415000002</v>
      </c>
      <c r="AL224" s="113">
        <f>Valores!$C$56</f>
        <v>-1270.1600000000001</v>
      </c>
      <c r="AM224" s="113">
        <f>IF($F$5=0,Valores!$C$57,(Valores!$C$57+$F$5*(Valores!$C$57)))</f>
        <v>-7026</v>
      </c>
      <c r="AN224" s="113">
        <f t="shared" si="39"/>
        <v>872550.13616500003</v>
      </c>
      <c r="AO224" s="113">
        <f t="shared" si="33"/>
        <v>-106992.46283</v>
      </c>
      <c r="AP224" s="113">
        <f t="shared" si="40"/>
        <v>-29179.762589999998</v>
      </c>
      <c r="AQ224" s="113">
        <f>AE224*Valores!$C$43</f>
        <v>-26261.786330999999</v>
      </c>
      <c r="AR224" s="113">
        <f>AE224*Valores!$C$44</f>
        <v>-2917.976259</v>
      </c>
      <c r="AS224" s="113">
        <f t="shared" si="35"/>
        <v>905162.76499000005</v>
      </c>
      <c r="AT224" s="113">
        <f>AE224*Valores!$C$46</f>
        <v>155625.40048000001</v>
      </c>
      <c r="AU224" s="113">
        <f>AE224*Valores!$C$47</f>
        <v>68086.112710000001</v>
      </c>
      <c r="AV224" s="113">
        <f>AE224*Valores!$C$48</f>
        <v>9726.5875300000007</v>
      </c>
      <c r="AW224" s="113">
        <f>AE224*Valores!$C$50</f>
        <v>34043.056355000001</v>
      </c>
      <c r="AX224" s="113">
        <f>AE224*Valores!$C$52</f>
        <v>52523.572661999999</v>
      </c>
      <c r="AY224" s="113">
        <f>AE224*Valores!$C$51</f>
        <v>5835.9525180000001</v>
      </c>
      <c r="AZ224" s="114"/>
      <c r="BA224" s="114">
        <f t="shared" si="42"/>
        <v>34</v>
      </c>
      <c r="BB224" s="111" t="s">
        <v>8</v>
      </c>
    </row>
    <row r="225" spans="1:54" s="100" customFormat="1" ht="11.25" customHeight="1" x14ac:dyDescent="0.15">
      <c r="A225" s="111" t="s">
        <v>432</v>
      </c>
      <c r="B225" s="111">
        <v>35</v>
      </c>
      <c r="C225" s="114">
        <v>218</v>
      </c>
      <c r="D225" s="112" t="str">
        <f t="shared" si="31"/>
        <v>Hora Cátedra Enseñanza Superior 35 hs</v>
      </c>
      <c r="E225" s="169">
        <v>3465</v>
      </c>
      <c r="F225" s="113">
        <f>ROUND(E225*Valores!$C$2,2)</f>
        <v>338897.79</v>
      </c>
      <c r="G225" s="169">
        <v>0</v>
      </c>
      <c r="H225" s="113">
        <f>ROUND(G225*Valores!$C$2,2)</f>
        <v>0</v>
      </c>
      <c r="I225" s="169">
        <v>0</v>
      </c>
      <c r="J225" s="113">
        <f>ROUND(I225*Valores!$C$2,2)</f>
        <v>0</v>
      </c>
      <c r="K225" s="169">
        <v>0</v>
      </c>
      <c r="L225" s="113">
        <f>ROUND(K225*Valores!$C$2,2)</f>
        <v>0</v>
      </c>
      <c r="M225" s="113">
        <f>ROUND(IF($H$2=0,IF(AND(A225&lt;&gt;"13-930",A225&lt;&gt;"13-940"),(SUM(F225,H225,J225,L225,W225,S225,Q225)*Valores!$C$4),0),0),2)</f>
        <v>109138.52</v>
      </c>
      <c r="N225" s="113">
        <f t="shared" si="36"/>
        <v>0</v>
      </c>
      <c r="O225" s="113">
        <f>Valores!C$65*B225</f>
        <v>232797.94999999998</v>
      </c>
      <c r="P225" s="113">
        <f>ROUND(IF((Valores!$E$5*B225)&lt;=Valores!$F$5,Valores!$E$5*B225,Valores!$F$5),2)</f>
        <v>74997.64</v>
      </c>
      <c r="Q225" s="113">
        <f>IF($F$4="NO",Valores!$C$28*B225,Valores!$C$28*B225/2)</f>
        <v>61146.400000000001</v>
      </c>
      <c r="R225" s="113">
        <f>Valores!$C$7*B225</f>
        <v>36509.9</v>
      </c>
      <c r="S225" s="113">
        <f t="shared" si="41"/>
        <v>36509.9</v>
      </c>
      <c r="T225" s="113">
        <v>0</v>
      </c>
      <c r="U225" s="113">
        <v>0</v>
      </c>
      <c r="V225" s="169">
        <v>0</v>
      </c>
      <c r="W225" s="113">
        <f>ROUND(V225*Valores!$C$2,2)</f>
        <v>0</v>
      </c>
      <c r="X225" s="113">
        <v>0</v>
      </c>
      <c r="Y225" s="188">
        <v>0</v>
      </c>
      <c r="Z225" s="113">
        <f t="shared" si="37"/>
        <v>0</v>
      </c>
      <c r="AA225" s="169">
        <v>0</v>
      </c>
      <c r="AB225" s="113">
        <f>ROUND(AA225*Valores!$C$2,2)</f>
        <v>0</v>
      </c>
      <c r="AC225" s="113">
        <f>ROUND(IF($F$4="NO",Valores!$C$33*B225,Valores!$C$33*B225/2),2)</f>
        <v>54548.13</v>
      </c>
      <c r="AD225" s="113">
        <f>SUM(F225,H225,J225,L225,M225,N225,O225,P225,Q225,S225,T225,U225,W225,X225,Z225,AB225,AC225)*Valores!$C$58</f>
        <v>90803.633000000016</v>
      </c>
      <c r="AE225" s="113">
        <f t="shared" si="38"/>
        <v>998839.96300000011</v>
      </c>
      <c r="AF225" s="113">
        <f>IF(Valores!$C$13*B225&gt;Valores!$F$13,Valores!$F$13,Valores!$C$13*B225)</f>
        <v>72856</v>
      </c>
      <c r="AG225" s="113">
        <f>IF((Valores!$C$59/20*B225)&gt;Valores!$C$59,Valores!$C$59,Valores!$C$59/20*B225)</f>
        <v>25000</v>
      </c>
      <c r="AH225" s="113">
        <f t="shared" si="34"/>
        <v>97856</v>
      </c>
      <c r="AI225" s="113">
        <f>AE225*Valores!$C$39</f>
        <v>-109872.39593000001</v>
      </c>
      <c r="AJ225" s="113">
        <f>IF(AE225&lt;Valores!$E$40,-0.02,IF(AE225&lt;Valores!$F$40,-0.03,-0.04))*AE225</f>
        <v>-29965.198890000003</v>
      </c>
      <c r="AK225" s="113">
        <f>AE225*Valores!$C$42</f>
        <v>-54936.197965000007</v>
      </c>
      <c r="AL225" s="113">
        <f>Valores!$C$56</f>
        <v>-1270.1600000000001</v>
      </c>
      <c r="AM225" s="113">
        <f>IF($F$5=0,Valores!$C$57,(Valores!$C$57+$F$5*(Valores!$C$57)))</f>
        <v>-7026</v>
      </c>
      <c r="AN225" s="113">
        <f t="shared" si="39"/>
        <v>893626.01021500002</v>
      </c>
      <c r="AO225" s="113">
        <f t="shared" si="33"/>
        <v>-109872.39593000001</v>
      </c>
      <c r="AP225" s="113">
        <f t="shared" si="40"/>
        <v>-29965.198890000003</v>
      </c>
      <c r="AQ225" s="113">
        <f>AE225*Valores!$C$43</f>
        <v>-26968.679001000004</v>
      </c>
      <c r="AR225" s="113">
        <f>AE225*Valores!$C$44</f>
        <v>-2996.5198890000006</v>
      </c>
      <c r="AS225" s="113">
        <f t="shared" si="35"/>
        <v>926893.16928999999</v>
      </c>
      <c r="AT225" s="113">
        <f>AE225*Valores!$C$46</f>
        <v>159814.39408000003</v>
      </c>
      <c r="AU225" s="113">
        <f>AE225*Valores!$C$47</f>
        <v>69918.797410000014</v>
      </c>
      <c r="AV225" s="113">
        <f>AE225*Valores!$C$48</f>
        <v>9988.3996300000017</v>
      </c>
      <c r="AW225" s="113">
        <f>AE225*Valores!$C$50</f>
        <v>34959.398705000007</v>
      </c>
      <c r="AX225" s="113">
        <f>AE225*Valores!$C$52</f>
        <v>53937.358002000008</v>
      </c>
      <c r="AY225" s="113">
        <f>AE225*Valores!$C$51</f>
        <v>5993.0397780000012</v>
      </c>
      <c r="AZ225" s="114"/>
      <c r="BA225" s="114">
        <f t="shared" si="42"/>
        <v>35</v>
      </c>
      <c r="BB225" s="111" t="s">
        <v>8</v>
      </c>
    </row>
    <row r="226" spans="1:54" s="100" customFormat="1" ht="11.25" customHeight="1" x14ac:dyDescent="0.15">
      <c r="A226" s="111" t="s">
        <v>432</v>
      </c>
      <c r="B226" s="111">
        <v>36</v>
      </c>
      <c r="C226" s="114">
        <v>219</v>
      </c>
      <c r="D226" s="112" t="str">
        <f t="shared" si="31"/>
        <v>Hora Cátedra Enseñanza Superior 36 hs</v>
      </c>
      <c r="E226" s="169">
        <v>3564</v>
      </c>
      <c r="F226" s="113">
        <f>ROUND(E226*Valores!$C$2,2)</f>
        <v>348580.58</v>
      </c>
      <c r="G226" s="169">
        <v>0</v>
      </c>
      <c r="H226" s="113">
        <f>ROUND(G226*Valores!$C$2,2)</f>
        <v>0</v>
      </c>
      <c r="I226" s="169">
        <v>0</v>
      </c>
      <c r="J226" s="113">
        <f>ROUND(I226*Valores!$C$2,2)</f>
        <v>0</v>
      </c>
      <c r="K226" s="169">
        <v>0</v>
      </c>
      <c r="L226" s="113">
        <f>ROUND(K226*Valores!$C$2,2)</f>
        <v>0</v>
      </c>
      <c r="M226" s="113">
        <f>ROUND(IF($H$2=0,IF(AND(A226&lt;&gt;"13-930",A226&lt;&gt;"13-940"),(SUM(F226,H226,J226,L226,W226,S226,Q226)*Valores!$C$4),0),0),2)</f>
        <v>112256.77</v>
      </c>
      <c r="N226" s="113">
        <f t="shared" si="36"/>
        <v>0</v>
      </c>
      <c r="O226" s="113">
        <f>Valores!C$65*B226</f>
        <v>239449.32</v>
      </c>
      <c r="P226" s="113">
        <f>ROUND(IF((Valores!$E$5*B226)&lt;=Valores!$F$5,Valores!$E$5*B226,Valores!$F$5),2)</f>
        <v>74997.64</v>
      </c>
      <c r="Q226" s="113">
        <f>IF($F$4="NO",Valores!$C$28*B226,Valores!$C$28*B226/2)</f>
        <v>62893.440000000002</v>
      </c>
      <c r="R226" s="113">
        <f>Valores!$C$7*B226</f>
        <v>37553.040000000001</v>
      </c>
      <c r="S226" s="113">
        <f t="shared" si="41"/>
        <v>37553.040000000001</v>
      </c>
      <c r="T226" s="113">
        <v>0</v>
      </c>
      <c r="U226" s="113">
        <v>0</v>
      </c>
      <c r="V226" s="169">
        <v>0</v>
      </c>
      <c r="W226" s="113">
        <f>ROUND(V226*Valores!$C$2,2)</f>
        <v>0</v>
      </c>
      <c r="X226" s="113">
        <v>0</v>
      </c>
      <c r="Y226" s="188">
        <v>0</v>
      </c>
      <c r="Z226" s="113">
        <f t="shared" si="37"/>
        <v>0</v>
      </c>
      <c r="AA226" s="169">
        <v>0</v>
      </c>
      <c r="AB226" s="113">
        <f>ROUND(AA226*Valores!$C$2,2)</f>
        <v>0</v>
      </c>
      <c r="AC226" s="113">
        <f>ROUND(IF($F$4="NO",Valores!$C$33*B226,Valores!$C$33*B226/2),2)</f>
        <v>56106.65</v>
      </c>
      <c r="AD226" s="113">
        <f>SUM(F226,H226,J226,L226,M226,N226,O226,P226,Q226,S226,T226,U226,W226,X226,Z226,AB226,AC226)*Valores!$C$58</f>
        <v>93183.744000000006</v>
      </c>
      <c r="AE226" s="113">
        <f t="shared" si="38"/>
        <v>1025021.1840000001</v>
      </c>
      <c r="AF226" s="113">
        <f>IF(Valores!$C$13*B226&gt;Valores!$F$13,Valores!$F$13,Valores!$C$13*B226)</f>
        <v>72856</v>
      </c>
      <c r="AG226" s="113">
        <f>IF((Valores!$C$59/20*B226)&gt;Valores!$C$59,Valores!$C$59,Valores!$C$59/20*B226)</f>
        <v>25000</v>
      </c>
      <c r="AH226" s="113">
        <f t="shared" si="34"/>
        <v>97856</v>
      </c>
      <c r="AI226" s="113">
        <f>AE226*Valores!$C$39</f>
        <v>-112752.33024000001</v>
      </c>
      <c r="AJ226" s="113">
        <f>IF(AE226&lt;Valores!$E$40,-0.02,IF(AE226&lt;Valores!$F$40,-0.03,-0.04))*AE226</f>
        <v>-41000.847360000007</v>
      </c>
      <c r="AK226" s="113">
        <f>AE226*Valores!$C$42</f>
        <v>-56376.165120000005</v>
      </c>
      <c r="AL226" s="113">
        <f>Valores!$C$56</f>
        <v>-1270.1600000000001</v>
      </c>
      <c r="AM226" s="113">
        <f>IF($F$5=0,Valores!$C$57,(Valores!$C$57+$F$5*(Valores!$C$57)))</f>
        <v>-7026</v>
      </c>
      <c r="AN226" s="113">
        <f t="shared" si="39"/>
        <v>904451.68128000014</v>
      </c>
      <c r="AO226" s="113">
        <f t="shared" si="33"/>
        <v>-112752.33024000001</v>
      </c>
      <c r="AP226" s="113">
        <f t="shared" si="40"/>
        <v>-41000.847360000007</v>
      </c>
      <c r="AQ226" s="113">
        <f>AE226*Valores!$C$43</f>
        <v>-27675.571968000004</v>
      </c>
      <c r="AR226" s="113">
        <f>AE226*Valores!$C$44</f>
        <v>-3075.0635520000005</v>
      </c>
      <c r="AS226" s="113">
        <f t="shared" si="35"/>
        <v>938373.37088000006</v>
      </c>
      <c r="AT226" s="113">
        <f>AE226*Valores!$C$46</f>
        <v>164003.38944000003</v>
      </c>
      <c r="AU226" s="113">
        <f>AE226*Valores!$C$47</f>
        <v>71751.48288000001</v>
      </c>
      <c r="AV226" s="113">
        <f>AE226*Valores!$C$48</f>
        <v>10250.211840000002</v>
      </c>
      <c r="AW226" s="113">
        <f>AE226*Valores!$C$50</f>
        <v>35875.741440000005</v>
      </c>
      <c r="AX226" s="113">
        <f>AE226*Valores!$C$52</f>
        <v>55351.143936000008</v>
      </c>
      <c r="AY226" s="113">
        <f>AE226*Valores!$C$51</f>
        <v>6150.1271040000011</v>
      </c>
      <c r="AZ226" s="114"/>
      <c r="BA226" s="114">
        <f t="shared" si="42"/>
        <v>36</v>
      </c>
      <c r="BB226" s="111" t="s">
        <v>8</v>
      </c>
    </row>
    <row r="227" spans="1:54" s="100" customFormat="1" ht="11.25" customHeight="1" x14ac:dyDescent="0.15">
      <c r="A227" s="111" t="s">
        <v>433</v>
      </c>
      <c r="B227" s="111">
        <v>1</v>
      </c>
      <c r="C227" s="114">
        <v>220</v>
      </c>
      <c r="D227" s="112" t="str">
        <f>CONCATENATE("Hora Cátedra Enseñanza Media ",B227," hs")</f>
        <v>Hora Cátedra Enseñanza Media 1 hs</v>
      </c>
      <c r="E227" s="169">
        <v>79</v>
      </c>
      <c r="F227" s="113">
        <f>ROUND(E227*Valores!$C$2,2)</f>
        <v>7726.67</v>
      </c>
      <c r="G227" s="169">
        <v>0</v>
      </c>
      <c r="H227" s="113">
        <f>ROUND(G227*Valores!$C$2,2)</f>
        <v>0</v>
      </c>
      <c r="I227" s="169">
        <v>0</v>
      </c>
      <c r="J227" s="113">
        <f>ROUND(I227*Valores!$C$2,2)</f>
        <v>0</v>
      </c>
      <c r="K227" s="169">
        <v>0</v>
      </c>
      <c r="L227" s="113">
        <f>ROUND(K227*Valores!$C$2,2)</f>
        <v>0</v>
      </c>
      <c r="M227" s="113">
        <f>ROUND(IF($H$2=0,IF(AND(A227&lt;&gt;"13-930",A227&lt;&gt;"13-940"),(SUM(F227,H227,J227,L227,W227,S227,Q227)*Valores!$C$4),0),0),2)</f>
        <v>2629.21</v>
      </c>
      <c r="N227" s="113">
        <f t="shared" si="36"/>
        <v>0</v>
      </c>
      <c r="O227" s="113">
        <f>Valores!C$65*B227</f>
        <v>6651.37</v>
      </c>
      <c r="P227" s="113">
        <f>ROUND(IF((Valores!$E$5*B227)&lt;=Valores!$F$5,Valores!$E$5*B227,Valores!$F$5),2)</f>
        <v>3333.23</v>
      </c>
      <c r="Q227" s="113">
        <f>IF($F$4="NO",Valores!$C$28*B227,Valores!$C$28*B227/2)</f>
        <v>1747.04</v>
      </c>
      <c r="R227" s="113">
        <f>Valores!$C$7*B227</f>
        <v>1043.1400000000001</v>
      </c>
      <c r="S227" s="113">
        <f t="shared" si="41"/>
        <v>1043.1400000000001</v>
      </c>
      <c r="T227" s="113">
        <v>0</v>
      </c>
      <c r="U227" s="113">
        <v>0</v>
      </c>
      <c r="V227" s="169">
        <v>0</v>
      </c>
      <c r="W227" s="113">
        <f>ROUND(V227*Valores!$C$2,2)</f>
        <v>0</v>
      </c>
      <c r="X227" s="113">
        <v>0</v>
      </c>
      <c r="Y227" s="188">
        <v>0</v>
      </c>
      <c r="Z227" s="113">
        <f t="shared" si="37"/>
        <v>0</v>
      </c>
      <c r="AA227" s="169">
        <v>0</v>
      </c>
      <c r="AB227" s="113">
        <f>ROUND(AA227*Valores!$C$2,2)</f>
        <v>0</v>
      </c>
      <c r="AC227" s="113">
        <f>ROUND(IF($F$4="NO",Valores!$C$33*B227,Valores!$C$33*B227/2),2)</f>
        <v>1558.52</v>
      </c>
      <c r="AD227" s="113">
        <f>SUM(F227,H227,J227,L227,M227,N227,O227,P227,Q227,S227,T227,U227,W227,X227,Z227,AB227,AC227)*Valores!$C$58</f>
        <v>2468.9180000000001</v>
      </c>
      <c r="AE227" s="113">
        <f t="shared" si="38"/>
        <v>27158.098000000002</v>
      </c>
      <c r="AF227" s="113">
        <f>IF(Valores!$C$13*B227&gt;Valores!$F$13,Valores!$F$13,Valores!$C$13*B227)</f>
        <v>2428.5333333333333</v>
      </c>
      <c r="AG227" s="113">
        <f>IF((Valores!$C$59/20*B227)&gt;Valores!$C$59,Valores!$C$59,Valores!$C$59/20*B227)</f>
        <v>1250</v>
      </c>
      <c r="AH227" s="113">
        <f t="shared" si="34"/>
        <v>3678.5333333333333</v>
      </c>
      <c r="AI227" s="113">
        <f>AE227*Valores!$C$39</f>
        <v>-2987.3907800000002</v>
      </c>
      <c r="AJ227" s="113">
        <f>IF(AE227&lt;Valores!$E$40,-0.02,IF(AE227&lt;Valores!$F$40,-0.03,-0.04))*AE227</f>
        <v>-543.16196000000002</v>
      </c>
      <c r="AK227" s="113">
        <f>AE227*Valores!$C$42</f>
        <v>-1493.6953900000001</v>
      </c>
      <c r="AL227" s="113">
        <f>Valores!$C$56</f>
        <v>-1270.1600000000001</v>
      </c>
      <c r="AM227" s="113">
        <f>IF($F$5=0,Valores!$C$57,(Valores!$C$57+$F$5*(Valores!$C$57)))</f>
        <v>-7026</v>
      </c>
      <c r="AN227" s="113">
        <f t="shared" si="39"/>
        <v>17516.223203333335</v>
      </c>
      <c r="AO227" s="113">
        <f t="shared" si="33"/>
        <v>-2987.3907800000002</v>
      </c>
      <c r="AP227" s="113">
        <f t="shared" si="40"/>
        <v>-543.16196000000002</v>
      </c>
      <c r="AQ227" s="113">
        <f>AE227*Valores!$C$43</f>
        <v>-733.26864599999999</v>
      </c>
      <c r="AR227" s="113">
        <f>AE227*Valores!$C$44</f>
        <v>-81.474294</v>
      </c>
      <c r="AS227" s="113">
        <f t="shared" si="35"/>
        <v>26491.335653333335</v>
      </c>
      <c r="AT227" s="113">
        <f>AE227*Valores!$C$46</f>
        <v>4345.2956800000002</v>
      </c>
      <c r="AU227" s="113">
        <f>AE227*Valores!$C$47</f>
        <v>1901.0668600000004</v>
      </c>
      <c r="AV227" s="113">
        <f>AE227*Valores!$C$48</f>
        <v>271.58098000000001</v>
      </c>
      <c r="AW227" s="113">
        <f>AE227*Valores!$C$50</f>
        <v>950.53343000000018</v>
      </c>
      <c r="AX227" s="113">
        <f>AE227*Valores!$C$52</f>
        <v>1466.537292</v>
      </c>
      <c r="AY227" s="113">
        <f>AE227*Valores!$C$51</f>
        <v>162.948588</v>
      </c>
      <c r="AZ227" s="114"/>
      <c r="BA227" s="114">
        <f t="shared" si="42"/>
        <v>1</v>
      </c>
      <c r="BB227" s="111" t="s">
        <v>4</v>
      </c>
    </row>
    <row r="228" spans="1:54" s="100" customFormat="1" ht="11.25" customHeight="1" x14ac:dyDescent="0.15">
      <c r="A228" s="111" t="s">
        <v>433</v>
      </c>
      <c r="B228" s="111">
        <v>1</v>
      </c>
      <c r="C228" s="114">
        <v>221</v>
      </c>
      <c r="D228" s="112" t="str">
        <f>CONCATENATE("Hora Cátedra Enseñanza Media ",B228," hs Esc Esp")</f>
        <v>Hora Cátedra Enseñanza Media 1 hs Esc Esp</v>
      </c>
      <c r="E228" s="169">
        <v>79</v>
      </c>
      <c r="F228" s="113">
        <f>ROUND(E228*Valores!$C$2,2)</f>
        <v>7726.67</v>
      </c>
      <c r="G228" s="169">
        <v>0</v>
      </c>
      <c r="H228" s="113">
        <f>ROUND(G228*Valores!$C$2,2)</f>
        <v>0</v>
      </c>
      <c r="I228" s="169">
        <v>0</v>
      </c>
      <c r="J228" s="113">
        <f>ROUND(I228*Valores!$C$2,2)</f>
        <v>0</v>
      </c>
      <c r="K228" s="169">
        <v>0</v>
      </c>
      <c r="L228" s="113">
        <f>ROUND(K228*Valores!$C$2,2)</f>
        <v>0</v>
      </c>
      <c r="M228" s="113">
        <f>ROUND(IF($H$2=0,IF(AND(A228&lt;&gt;"13-930",A228&lt;&gt;"13-940"),(SUM(F228,H228,J228,L228,W228,S228,Q228)*Valores!$C$4),0),0),2)</f>
        <v>2629.21</v>
      </c>
      <c r="N228" s="113">
        <f t="shared" si="36"/>
        <v>0</v>
      </c>
      <c r="O228" s="113">
        <f>Valores!C$65*B228</f>
        <v>6651.37</v>
      </c>
      <c r="P228" s="113">
        <f>ROUND(IF((Valores!$E$5*B228)&lt;=Valores!$F$5,Valores!$E$5*B228,Valores!$F$5),2)</f>
        <v>3333.23</v>
      </c>
      <c r="Q228" s="113">
        <f>IF($F$4="NO",Valores!$C$28*B228,Valores!$C$28*B228/2)</f>
        <v>1747.04</v>
      </c>
      <c r="R228" s="113">
        <f>Valores!$C$7*B228</f>
        <v>1043.1400000000001</v>
      </c>
      <c r="S228" s="113">
        <f t="shared" si="41"/>
        <v>1043.1400000000001</v>
      </c>
      <c r="T228" s="113">
        <v>0</v>
      </c>
      <c r="U228" s="113">
        <v>0</v>
      </c>
      <c r="V228" s="169">
        <v>0</v>
      </c>
      <c r="W228" s="113">
        <f>ROUND(V228*Valores!$C$2,2)</f>
        <v>0</v>
      </c>
      <c r="X228" s="113">
        <v>0</v>
      </c>
      <c r="Y228" s="188">
        <v>0</v>
      </c>
      <c r="Z228" s="113">
        <f t="shared" si="37"/>
        <v>0</v>
      </c>
      <c r="AA228" s="169">
        <v>94</v>
      </c>
      <c r="AB228" s="113">
        <f>ROUND(AA228*Valores!$C$2,2)</f>
        <v>9193.76</v>
      </c>
      <c r="AC228" s="113">
        <f>ROUND(IF($F$4="NO",Valores!$C$33*B228,Valores!$C$33*B228/2),2)</f>
        <v>1558.52</v>
      </c>
      <c r="AD228" s="113">
        <f>SUM(F228,H228,J228,L228,M228,N228,O228,P228,Q228,S228,T228,U228,W228,X228,Z228,AB228,AC228)*Valores!$C$58</f>
        <v>3388.2939999999999</v>
      </c>
      <c r="AE228" s="113">
        <f t="shared" si="38"/>
        <v>37271.233999999997</v>
      </c>
      <c r="AF228" s="113">
        <f>IF(Valores!$C$13*B228&gt;Valores!$F$13,Valores!$F$13,Valores!$C$13*B228)</f>
        <v>2428.5333333333333</v>
      </c>
      <c r="AG228" s="113">
        <f>IF((Valores!$C$59/20*B228)&gt;Valores!$C$59,Valores!$C$59,Valores!$C$59/20*B228)</f>
        <v>1250</v>
      </c>
      <c r="AH228" s="113">
        <f t="shared" si="34"/>
        <v>3678.5333333333333</v>
      </c>
      <c r="AI228" s="113">
        <f>AE228*Valores!$C$39</f>
        <v>-4099.8357399999995</v>
      </c>
      <c r="AJ228" s="113">
        <f>IF(AE228&lt;Valores!$E$40,-0.02,IF(AE228&lt;Valores!$F$40,-0.03,-0.04))*AE228</f>
        <v>-745.42467999999997</v>
      </c>
      <c r="AK228" s="113">
        <f>AE228*Valores!$C$42</f>
        <v>-2049.9178699999998</v>
      </c>
      <c r="AL228" s="113">
        <f>Valores!$C$56</f>
        <v>-1270.1600000000001</v>
      </c>
      <c r="AM228" s="113">
        <f>IF($F$5=0,Valores!$C$57,(Valores!$C$57+$F$5*(Valores!$C$57)))</f>
        <v>-7026</v>
      </c>
      <c r="AN228" s="113">
        <f t="shared" si="39"/>
        <v>25758.42904333333</v>
      </c>
      <c r="AO228" s="113">
        <f t="shared" si="33"/>
        <v>-4099.8357399999995</v>
      </c>
      <c r="AP228" s="113">
        <f t="shared" si="40"/>
        <v>-745.42467999999997</v>
      </c>
      <c r="AQ228" s="113">
        <f>AE228*Valores!$C$43</f>
        <v>-1006.3233179999999</v>
      </c>
      <c r="AR228" s="113">
        <f>AE228*Valores!$C$44</f>
        <v>-111.81370199999999</v>
      </c>
      <c r="AS228" s="113">
        <f t="shared" si="35"/>
        <v>34986.369893333329</v>
      </c>
      <c r="AT228" s="113">
        <f>AE228*Valores!$C$46</f>
        <v>5963.3974399999997</v>
      </c>
      <c r="AU228" s="113">
        <f>AE228*Valores!$C$47</f>
        <v>2608.9863799999998</v>
      </c>
      <c r="AV228" s="113">
        <f>AE228*Valores!$C$48</f>
        <v>372.71233999999998</v>
      </c>
      <c r="AW228" s="113">
        <f>AE228*Valores!$C$50</f>
        <v>1304.4931899999999</v>
      </c>
      <c r="AX228" s="113">
        <f>AE228*Valores!$C$52</f>
        <v>2012.6466359999997</v>
      </c>
      <c r="AY228" s="113">
        <f>AE228*Valores!$C$51</f>
        <v>223.62740399999998</v>
      </c>
      <c r="AZ228" s="114"/>
      <c r="BA228" s="114">
        <f t="shared" si="42"/>
        <v>1</v>
      </c>
      <c r="BB228" s="111" t="s">
        <v>4</v>
      </c>
    </row>
    <row r="229" spans="1:54" s="100" customFormat="1" ht="11.25" customHeight="1" x14ac:dyDescent="0.15">
      <c r="A229" s="111" t="s">
        <v>433</v>
      </c>
      <c r="B229" s="111">
        <v>2</v>
      </c>
      <c r="C229" s="114">
        <v>222</v>
      </c>
      <c r="D229" s="112" t="str">
        <f>CONCATENATE("Hora Cátedra Enseñanza Media ",B229," hs")</f>
        <v>Hora Cátedra Enseñanza Media 2 hs</v>
      </c>
      <c r="E229" s="169">
        <v>158</v>
      </c>
      <c r="F229" s="113">
        <f>ROUND(E229*Valores!$C$2,2)</f>
        <v>15453.35</v>
      </c>
      <c r="G229" s="169">
        <v>0</v>
      </c>
      <c r="H229" s="113">
        <f>ROUND(G229*Valores!$C$2,2)</f>
        <v>0</v>
      </c>
      <c r="I229" s="169">
        <v>0</v>
      </c>
      <c r="J229" s="113">
        <f>ROUND(I229*Valores!$C$2,2)</f>
        <v>0</v>
      </c>
      <c r="K229" s="169">
        <v>0</v>
      </c>
      <c r="L229" s="113">
        <f>ROUND(K229*Valores!$C$2,2)</f>
        <v>0</v>
      </c>
      <c r="M229" s="113">
        <f>ROUND(IF($H$2=0,IF(AND(A229&lt;&gt;"13-930",A229&lt;&gt;"13-940"),(SUM(F229,H229,J229,L229,W229,S229,Q229)*Valores!$C$4),0),0),2)</f>
        <v>5258.43</v>
      </c>
      <c r="N229" s="113">
        <f t="shared" si="36"/>
        <v>0</v>
      </c>
      <c r="O229" s="113">
        <f>Valores!C$65*B229</f>
        <v>13302.74</v>
      </c>
      <c r="P229" s="113">
        <f>ROUND(IF((Valores!$E$5*B229)&lt;=Valores!$F$5,Valores!$E$5*B229,Valores!$F$5),2)</f>
        <v>6666.46</v>
      </c>
      <c r="Q229" s="113">
        <f>IF($F$4="NO",Valores!$C$28*B229,Valores!$C$28*B229/2)</f>
        <v>3494.08</v>
      </c>
      <c r="R229" s="113">
        <f>Valores!$C$7*B229</f>
        <v>2086.2800000000002</v>
      </c>
      <c r="S229" s="113">
        <f t="shared" si="41"/>
        <v>2086.2800000000002</v>
      </c>
      <c r="T229" s="113">
        <v>0</v>
      </c>
      <c r="U229" s="113">
        <v>0</v>
      </c>
      <c r="V229" s="169">
        <v>0</v>
      </c>
      <c r="W229" s="113">
        <f>ROUND(V229*Valores!$C$2,2)</f>
        <v>0</v>
      </c>
      <c r="X229" s="113">
        <v>0</v>
      </c>
      <c r="Y229" s="188">
        <v>0</v>
      </c>
      <c r="Z229" s="113">
        <f t="shared" si="37"/>
        <v>0</v>
      </c>
      <c r="AA229" s="169">
        <v>0</v>
      </c>
      <c r="AB229" s="113">
        <f>ROUND(AA229*Valores!$C$2,2)</f>
        <v>0</v>
      </c>
      <c r="AC229" s="113">
        <f>ROUND(IF($F$4="NO",Valores!$C$33*B229,Valores!$C$33*B229/2),2)</f>
        <v>3117.04</v>
      </c>
      <c r="AD229" s="113">
        <f>SUM(F229,H229,J229,L229,M229,N229,O229,P229,Q229,S229,T229,U229,W229,X229,Z229,AB229,AC229)*Valores!$C$58</f>
        <v>4937.8379999999997</v>
      </c>
      <c r="AE229" s="113">
        <f t="shared" si="38"/>
        <v>54316.217999999993</v>
      </c>
      <c r="AF229" s="113">
        <f>IF(Valores!$C$13*B229&gt;Valores!$F$13,Valores!$F$13,Valores!$C$13*B229)</f>
        <v>4857.0666666666666</v>
      </c>
      <c r="AG229" s="113">
        <f>IF((Valores!$C$59/20*B229)&gt;Valores!$C$59,Valores!$C$59,Valores!$C$59/20*B229)</f>
        <v>2500</v>
      </c>
      <c r="AH229" s="113">
        <f t="shared" si="34"/>
        <v>7357.0666666666666</v>
      </c>
      <c r="AI229" s="113">
        <f>AE229*Valores!$C$39</f>
        <v>-5974.7839799999992</v>
      </c>
      <c r="AJ229" s="113">
        <f>IF(AE229&lt;Valores!$E$40,-0.02,IF(AE229&lt;Valores!$F$40,-0.03,-0.04))*AE229</f>
        <v>-1086.3243599999998</v>
      </c>
      <c r="AK229" s="113">
        <f>AE229*Valores!$C$42</f>
        <v>-2987.3919899999996</v>
      </c>
      <c r="AL229" s="113">
        <f>Valores!$C$56</f>
        <v>-1270.1600000000001</v>
      </c>
      <c r="AM229" s="113">
        <f>IF($F$5=0,Valores!$C$57,(Valores!$C$57+$F$5*(Valores!$C$57)))</f>
        <v>-7026</v>
      </c>
      <c r="AN229" s="113">
        <f t="shared" si="39"/>
        <v>43328.62433666666</v>
      </c>
      <c r="AO229" s="113">
        <f t="shared" si="33"/>
        <v>-5974.7839799999992</v>
      </c>
      <c r="AP229" s="113">
        <f t="shared" si="40"/>
        <v>-1086.3243599999998</v>
      </c>
      <c r="AQ229" s="113">
        <f>AE229*Valores!$C$43</f>
        <v>-1466.5378859999998</v>
      </c>
      <c r="AR229" s="113">
        <f>AE229*Valores!$C$44</f>
        <v>-162.94865399999998</v>
      </c>
      <c r="AS229" s="113">
        <f t="shared" si="35"/>
        <v>52982.689786666662</v>
      </c>
      <c r="AT229" s="113">
        <f>AE229*Valores!$C$46</f>
        <v>8690.5948799999987</v>
      </c>
      <c r="AU229" s="113">
        <f>AE229*Valores!$C$47</f>
        <v>3802.13526</v>
      </c>
      <c r="AV229" s="113">
        <f>AE229*Valores!$C$48</f>
        <v>543.16217999999992</v>
      </c>
      <c r="AW229" s="113">
        <f>AE229*Valores!$C$50</f>
        <v>1901.06763</v>
      </c>
      <c r="AX229" s="113">
        <f>AE229*Valores!$C$52</f>
        <v>2933.0757719999997</v>
      </c>
      <c r="AY229" s="113">
        <f>AE229*Valores!$C$51</f>
        <v>325.89730799999995</v>
      </c>
      <c r="AZ229" s="114"/>
      <c r="BA229" s="114">
        <f t="shared" si="42"/>
        <v>2</v>
      </c>
      <c r="BB229" s="111" t="s">
        <v>4</v>
      </c>
    </row>
    <row r="230" spans="1:54" s="100" customFormat="1" ht="11.25" customHeight="1" x14ac:dyDescent="0.15">
      <c r="A230" s="111" t="s">
        <v>433</v>
      </c>
      <c r="B230" s="111">
        <v>2</v>
      </c>
      <c r="C230" s="114">
        <v>223</v>
      </c>
      <c r="D230" s="112" t="str">
        <f>CONCATENATE("Hora Cátedra Enseñanza Media ",B230," hs Esc Esp")</f>
        <v>Hora Cátedra Enseñanza Media 2 hs Esc Esp</v>
      </c>
      <c r="E230" s="169">
        <v>158</v>
      </c>
      <c r="F230" s="113">
        <f>ROUND(E230*Valores!$C$2,2)</f>
        <v>15453.35</v>
      </c>
      <c r="G230" s="169">
        <v>0</v>
      </c>
      <c r="H230" s="113">
        <f>ROUND(G230*Valores!$C$2,2)</f>
        <v>0</v>
      </c>
      <c r="I230" s="169">
        <v>0</v>
      </c>
      <c r="J230" s="113">
        <f>ROUND(I230*Valores!$C$2,2)</f>
        <v>0</v>
      </c>
      <c r="K230" s="169">
        <v>0</v>
      </c>
      <c r="L230" s="113">
        <f>ROUND(K230*Valores!$C$2,2)</f>
        <v>0</v>
      </c>
      <c r="M230" s="113">
        <f>ROUND(IF($H$2=0,IF(AND(A230&lt;&gt;"13-930",A230&lt;&gt;"13-940"),(SUM(F230,H230,J230,L230,W230,S230,Q230)*Valores!$C$4),0),0),2)</f>
        <v>5258.43</v>
      </c>
      <c r="N230" s="113">
        <f t="shared" si="36"/>
        <v>0</v>
      </c>
      <c r="O230" s="113">
        <f>Valores!C$65*B230</f>
        <v>13302.74</v>
      </c>
      <c r="P230" s="113">
        <f>ROUND(IF((Valores!$E$5*B230)&lt;=Valores!$F$5,Valores!$E$5*B230,Valores!$F$5),2)</f>
        <v>6666.46</v>
      </c>
      <c r="Q230" s="113">
        <f>IF($F$4="NO",Valores!$C$28*B230,Valores!$C$28*B230/2)</f>
        <v>3494.08</v>
      </c>
      <c r="R230" s="113">
        <f>Valores!$C$7*B230</f>
        <v>2086.2800000000002</v>
      </c>
      <c r="S230" s="113">
        <f t="shared" si="41"/>
        <v>2086.2800000000002</v>
      </c>
      <c r="T230" s="113">
        <v>0</v>
      </c>
      <c r="U230" s="113">
        <v>0</v>
      </c>
      <c r="V230" s="169">
        <v>0</v>
      </c>
      <c r="W230" s="113">
        <f>ROUND(V230*Valores!$C$2,2)</f>
        <v>0</v>
      </c>
      <c r="X230" s="113">
        <v>0</v>
      </c>
      <c r="Y230" s="188">
        <v>0</v>
      </c>
      <c r="Z230" s="113">
        <f t="shared" si="37"/>
        <v>0</v>
      </c>
      <c r="AA230" s="169">
        <v>94</v>
      </c>
      <c r="AB230" s="113">
        <f>ROUND(AA230*Valores!$C$2,2)</f>
        <v>9193.76</v>
      </c>
      <c r="AC230" s="113">
        <f>ROUND(IF($F$4="NO",Valores!$C$33*B230,Valores!$C$33*B230/2),2)</f>
        <v>3117.04</v>
      </c>
      <c r="AD230" s="113">
        <f>SUM(F230,H230,J230,L230,M230,N230,O230,P230,Q230,S230,T230,U230,W230,X230,Z230,AB230,AC230)*Valores!$C$58</f>
        <v>5857.2139999999999</v>
      </c>
      <c r="AE230" s="113">
        <f t="shared" si="38"/>
        <v>64429.353999999999</v>
      </c>
      <c r="AF230" s="113">
        <f>IF(Valores!$C$13*B230&gt;Valores!$F$13,Valores!$F$13,Valores!$C$13*B230)</f>
        <v>4857.0666666666666</v>
      </c>
      <c r="AG230" s="113">
        <f>IF((Valores!$C$59/20*B230)&gt;Valores!$C$59,Valores!$C$59,Valores!$C$59/20*B230)</f>
        <v>2500</v>
      </c>
      <c r="AH230" s="113">
        <f t="shared" si="34"/>
        <v>7357.0666666666666</v>
      </c>
      <c r="AI230" s="113">
        <f>AE230*Valores!$C$39</f>
        <v>-7087.22894</v>
      </c>
      <c r="AJ230" s="113">
        <f>IF(AE230&lt;Valores!$E$40,-0.02,IF(AE230&lt;Valores!$F$40,-0.03,-0.04))*AE230</f>
        <v>-1288.58708</v>
      </c>
      <c r="AK230" s="113">
        <f>AE230*Valores!$C$42</f>
        <v>-3543.61447</v>
      </c>
      <c r="AL230" s="113">
        <f>Valores!$C$56</f>
        <v>-1270.1600000000001</v>
      </c>
      <c r="AM230" s="113">
        <f>IF($F$5=0,Valores!$C$57,(Valores!$C$57+$F$5*(Valores!$C$57)))</f>
        <v>-7026</v>
      </c>
      <c r="AN230" s="113">
        <f t="shared" si="39"/>
        <v>51570.83017666667</v>
      </c>
      <c r="AO230" s="113">
        <f t="shared" si="33"/>
        <v>-7087.22894</v>
      </c>
      <c r="AP230" s="113">
        <f t="shared" si="40"/>
        <v>-1288.58708</v>
      </c>
      <c r="AQ230" s="113">
        <f>AE230*Valores!$C$43</f>
        <v>-1739.5925580000001</v>
      </c>
      <c r="AR230" s="113">
        <f>AE230*Valores!$C$44</f>
        <v>-193.288062</v>
      </c>
      <c r="AS230" s="113">
        <f t="shared" si="35"/>
        <v>61477.72402666667</v>
      </c>
      <c r="AT230" s="113">
        <f>AE230*Valores!$C$46</f>
        <v>10308.69664</v>
      </c>
      <c r="AU230" s="113">
        <f>AE230*Valores!$C$47</f>
        <v>4510.0547800000004</v>
      </c>
      <c r="AV230" s="113">
        <f>AE230*Valores!$C$48</f>
        <v>644.29354000000001</v>
      </c>
      <c r="AW230" s="113">
        <f>AE230*Valores!$C$50</f>
        <v>2255.0273900000002</v>
      </c>
      <c r="AX230" s="113">
        <f>AE230*Valores!$C$52</f>
        <v>3479.1851160000001</v>
      </c>
      <c r="AY230" s="113">
        <f>AE230*Valores!$C$51</f>
        <v>386.57612399999999</v>
      </c>
      <c r="AZ230" s="114"/>
      <c r="BA230" s="114">
        <f t="shared" si="42"/>
        <v>2</v>
      </c>
      <c r="BB230" s="111" t="s">
        <v>4</v>
      </c>
    </row>
    <row r="231" spans="1:54" s="100" customFormat="1" ht="11.25" customHeight="1" x14ac:dyDescent="0.15">
      <c r="A231" s="111" t="s">
        <v>433</v>
      </c>
      <c r="B231" s="111">
        <v>3</v>
      </c>
      <c r="C231" s="114">
        <v>224</v>
      </c>
      <c r="D231" s="112" t="str">
        <f>CONCATENATE("Hora Cátedra Enseñanza Media ",B231," hs")</f>
        <v>Hora Cátedra Enseñanza Media 3 hs</v>
      </c>
      <c r="E231" s="169">
        <v>237</v>
      </c>
      <c r="F231" s="113">
        <f>ROUND(E231*Valores!$C$2,2)</f>
        <v>23180.02</v>
      </c>
      <c r="G231" s="169">
        <v>0</v>
      </c>
      <c r="H231" s="113">
        <f>ROUND(G231*Valores!$C$2,2)</f>
        <v>0</v>
      </c>
      <c r="I231" s="169">
        <v>0</v>
      </c>
      <c r="J231" s="113">
        <f>ROUND(I231*Valores!$C$2,2)</f>
        <v>0</v>
      </c>
      <c r="K231" s="169">
        <v>0</v>
      </c>
      <c r="L231" s="113">
        <f>ROUND(K231*Valores!$C$2,2)</f>
        <v>0</v>
      </c>
      <c r="M231" s="113">
        <f>ROUND(IF($H$2=0,IF(AND(A231&lt;&gt;"13-930",A231&lt;&gt;"13-940"),(SUM(F231,H231,J231,L231,W231,S231,Q231)*Valores!$C$4),0),0),2)</f>
        <v>7887.64</v>
      </c>
      <c r="N231" s="113">
        <f t="shared" si="36"/>
        <v>0</v>
      </c>
      <c r="O231" s="113">
        <f>Valores!C$65*B231</f>
        <v>19954.11</v>
      </c>
      <c r="P231" s="113">
        <f>ROUND(IF((Valores!$E$5*B231)&lt;=Valores!$F$5,Valores!$E$5*B231,Valores!$F$5),2)</f>
        <v>9999.69</v>
      </c>
      <c r="Q231" s="113">
        <f>IF($F$4="NO",Valores!$C$28*B231,Valores!$C$28*B231/2)</f>
        <v>5241.12</v>
      </c>
      <c r="R231" s="113">
        <f>Valores!$C$7*B231</f>
        <v>3129.42</v>
      </c>
      <c r="S231" s="113">
        <f t="shared" si="41"/>
        <v>3129.42</v>
      </c>
      <c r="T231" s="113">
        <v>0</v>
      </c>
      <c r="U231" s="113">
        <v>0</v>
      </c>
      <c r="V231" s="169">
        <v>0</v>
      </c>
      <c r="W231" s="113">
        <f>ROUND(V231*Valores!$C$2,2)</f>
        <v>0</v>
      </c>
      <c r="X231" s="113">
        <v>0</v>
      </c>
      <c r="Y231" s="188">
        <v>0</v>
      </c>
      <c r="Z231" s="113">
        <f t="shared" si="37"/>
        <v>0</v>
      </c>
      <c r="AA231" s="169">
        <v>0</v>
      </c>
      <c r="AB231" s="113">
        <f>ROUND(AA231*Valores!$C$2,2)</f>
        <v>0</v>
      </c>
      <c r="AC231" s="113">
        <f>ROUND(IF($F$4="NO",Valores!$C$33*B231,Valores!$C$33*B231/2),2)</f>
        <v>4675.55</v>
      </c>
      <c r="AD231" s="113">
        <f>SUM(F231,H231,J231,L231,M231,N231,O231,P231,Q231,S231,T231,U231,W231,X231,Z231,AB231,AC231)*Valores!$C$58</f>
        <v>7406.755000000001</v>
      </c>
      <c r="AE231" s="113">
        <f t="shared" si="38"/>
        <v>81474.305000000008</v>
      </c>
      <c r="AF231" s="113">
        <f>IF(Valores!$C$13*B231&gt;Valores!$F$13,Valores!$F$13,Valores!$C$13*B231)</f>
        <v>7285.6</v>
      </c>
      <c r="AG231" s="113">
        <f>IF((Valores!$C$59/20*B231)&gt;Valores!$C$59,Valores!$C$59,Valores!$C$59/20*B231)</f>
        <v>3750</v>
      </c>
      <c r="AH231" s="113">
        <f t="shared" si="34"/>
        <v>11035.6</v>
      </c>
      <c r="AI231" s="113">
        <f>AE231*Valores!$C$39</f>
        <v>-8962.1735500000013</v>
      </c>
      <c r="AJ231" s="113">
        <f>IF(AE231&lt;Valores!$E$40,-0.02,IF(AE231&lt;Valores!$F$40,-0.03,-0.04))*AE231</f>
        <v>-1629.4861000000001</v>
      </c>
      <c r="AK231" s="113">
        <f>AE231*Valores!$C$42</f>
        <v>-4481.0867750000007</v>
      </c>
      <c r="AL231" s="113">
        <f>Valores!$C$56</f>
        <v>-1270.1600000000001</v>
      </c>
      <c r="AM231" s="113">
        <f>IF($F$5=0,Valores!$C$57,(Valores!$C$57+$F$5*(Valores!$C$57)))</f>
        <v>-7026</v>
      </c>
      <c r="AN231" s="113">
        <f t="shared" si="39"/>
        <v>69140.998575000005</v>
      </c>
      <c r="AO231" s="113">
        <f t="shared" si="33"/>
        <v>-8962.1735500000013</v>
      </c>
      <c r="AP231" s="113">
        <f t="shared" si="40"/>
        <v>-1629.4861000000001</v>
      </c>
      <c r="AQ231" s="113">
        <f>AE231*Valores!$C$43</f>
        <v>-2199.806235</v>
      </c>
      <c r="AR231" s="113">
        <f>AE231*Valores!$C$44</f>
        <v>-244.42291500000002</v>
      </c>
      <c r="AS231" s="113">
        <f t="shared" si="35"/>
        <v>79474.016200000013</v>
      </c>
      <c r="AT231" s="113">
        <f>AE231*Valores!$C$46</f>
        <v>13035.888800000001</v>
      </c>
      <c r="AU231" s="113">
        <f>AE231*Valores!$C$47</f>
        <v>5703.2013500000012</v>
      </c>
      <c r="AV231" s="113">
        <f>AE231*Valores!$C$48</f>
        <v>814.74305000000004</v>
      </c>
      <c r="AW231" s="113">
        <f>AE231*Valores!$C$50</f>
        <v>2851.6006750000006</v>
      </c>
      <c r="AX231" s="113">
        <f>AE231*Valores!$C$52</f>
        <v>4399.61247</v>
      </c>
      <c r="AY231" s="113">
        <f>AE231*Valores!$C$51</f>
        <v>488.84583000000003</v>
      </c>
      <c r="AZ231" s="114"/>
      <c r="BA231" s="114">
        <f t="shared" si="42"/>
        <v>3</v>
      </c>
      <c r="BB231" s="111" t="s">
        <v>4</v>
      </c>
    </row>
    <row r="232" spans="1:54" s="100" customFormat="1" ht="11.25" customHeight="1" x14ac:dyDescent="0.15">
      <c r="A232" s="111" t="s">
        <v>433</v>
      </c>
      <c r="B232" s="111">
        <v>3</v>
      </c>
      <c r="C232" s="114">
        <v>225</v>
      </c>
      <c r="D232" s="112" t="str">
        <f>CONCATENATE("Hora Cátedra Enseñanza Media ",B232," hs Esc Esp")</f>
        <v>Hora Cátedra Enseñanza Media 3 hs Esc Esp</v>
      </c>
      <c r="E232" s="169">
        <v>237</v>
      </c>
      <c r="F232" s="113">
        <f>ROUND(E232*Valores!$C$2,2)</f>
        <v>23180.02</v>
      </c>
      <c r="G232" s="169">
        <v>0</v>
      </c>
      <c r="H232" s="113">
        <f>ROUND(G232*Valores!$C$2,2)</f>
        <v>0</v>
      </c>
      <c r="I232" s="169">
        <v>0</v>
      </c>
      <c r="J232" s="113">
        <f>ROUND(I232*Valores!$C$2,2)</f>
        <v>0</v>
      </c>
      <c r="K232" s="169">
        <v>0</v>
      </c>
      <c r="L232" s="113">
        <f>ROUND(K232*Valores!$C$2,2)</f>
        <v>0</v>
      </c>
      <c r="M232" s="113">
        <f>ROUND(IF($H$2=0,IF(AND(A232&lt;&gt;"13-930",A232&lt;&gt;"13-940"),(SUM(F232,H232,J232,L232,W232,S232,Q232)*Valores!$C$4),0),0),2)</f>
        <v>7887.64</v>
      </c>
      <c r="N232" s="113">
        <f t="shared" si="36"/>
        <v>0</v>
      </c>
      <c r="O232" s="113">
        <f>Valores!C$65*B232</f>
        <v>19954.11</v>
      </c>
      <c r="P232" s="113">
        <f>ROUND(IF((Valores!$E$5*B232)&lt;=Valores!$F$5,Valores!$E$5*B232,Valores!$F$5),2)</f>
        <v>9999.69</v>
      </c>
      <c r="Q232" s="113">
        <f>IF($F$4="NO",Valores!$C$28*B232,Valores!$C$28*B232/2)</f>
        <v>5241.12</v>
      </c>
      <c r="R232" s="113">
        <f>Valores!$C$7*B232</f>
        <v>3129.42</v>
      </c>
      <c r="S232" s="113">
        <f t="shared" si="41"/>
        <v>3129.42</v>
      </c>
      <c r="T232" s="113">
        <v>0</v>
      </c>
      <c r="U232" s="113">
        <v>0</v>
      </c>
      <c r="V232" s="169">
        <v>0</v>
      </c>
      <c r="W232" s="113">
        <f>ROUND(V232*Valores!$C$2,2)</f>
        <v>0</v>
      </c>
      <c r="X232" s="113">
        <v>0</v>
      </c>
      <c r="Y232" s="188">
        <v>0</v>
      </c>
      <c r="Z232" s="113">
        <f t="shared" si="37"/>
        <v>0</v>
      </c>
      <c r="AA232" s="169">
        <v>94</v>
      </c>
      <c r="AB232" s="113">
        <f>ROUND(AA232*Valores!$C$2,2)</f>
        <v>9193.76</v>
      </c>
      <c r="AC232" s="113">
        <f>ROUND(IF($F$4="NO",Valores!$C$33*B232,Valores!$C$33*B232/2),2)</f>
        <v>4675.55</v>
      </c>
      <c r="AD232" s="113">
        <f>SUM(F232,H232,J232,L232,M232,N232,O232,P232,Q232,S232,T232,U232,W232,X232,Z232,AB232,AC232)*Valores!$C$58</f>
        <v>8326.1309999999994</v>
      </c>
      <c r="AE232" s="113">
        <f t="shared" si="38"/>
        <v>91587.440999999992</v>
      </c>
      <c r="AF232" s="113">
        <f>IF(Valores!$C$13*B232&gt;Valores!$F$13,Valores!$F$13,Valores!$C$13*B232)</f>
        <v>7285.6</v>
      </c>
      <c r="AG232" s="113">
        <f>IF((Valores!$C$59/20*B232)&gt;Valores!$C$59,Valores!$C$59,Valores!$C$59/20*B232)</f>
        <v>3750</v>
      </c>
      <c r="AH232" s="113">
        <f t="shared" si="34"/>
        <v>11035.6</v>
      </c>
      <c r="AI232" s="113">
        <f>AE232*Valores!$C$39</f>
        <v>-10074.618509999998</v>
      </c>
      <c r="AJ232" s="113">
        <f>IF(AE232&lt;Valores!$E$40,-0.02,IF(AE232&lt;Valores!$F$40,-0.03,-0.04))*AE232</f>
        <v>-1831.7488199999998</v>
      </c>
      <c r="AK232" s="113">
        <f>AE232*Valores!$C$42</f>
        <v>-5037.3092549999992</v>
      </c>
      <c r="AL232" s="113">
        <f>Valores!$C$56</f>
        <v>-1270.1600000000001</v>
      </c>
      <c r="AM232" s="113">
        <f>IF($F$5=0,Valores!$C$57,(Valores!$C$57+$F$5*(Valores!$C$57)))</f>
        <v>-7026</v>
      </c>
      <c r="AN232" s="113">
        <f t="shared" si="39"/>
        <v>77383.204415</v>
      </c>
      <c r="AO232" s="113">
        <f t="shared" si="33"/>
        <v>-10074.618509999998</v>
      </c>
      <c r="AP232" s="113">
        <f t="shared" si="40"/>
        <v>-1831.7488199999998</v>
      </c>
      <c r="AQ232" s="113">
        <f>AE232*Valores!$C$43</f>
        <v>-2472.8609069999998</v>
      </c>
      <c r="AR232" s="113">
        <f>AE232*Valores!$C$44</f>
        <v>-274.76232299999998</v>
      </c>
      <c r="AS232" s="113">
        <f t="shared" si="35"/>
        <v>87969.050439999992</v>
      </c>
      <c r="AT232" s="113">
        <f>AE232*Valores!$C$46</f>
        <v>14653.990559999998</v>
      </c>
      <c r="AU232" s="113">
        <f>AE232*Valores!$C$47</f>
        <v>6411.1208699999997</v>
      </c>
      <c r="AV232" s="113">
        <f>AE232*Valores!$C$48</f>
        <v>915.8744099999999</v>
      </c>
      <c r="AW232" s="113">
        <f>AE232*Valores!$C$50</f>
        <v>3205.5604349999999</v>
      </c>
      <c r="AX232" s="113">
        <f>AE232*Valores!$C$52</f>
        <v>4945.7218139999995</v>
      </c>
      <c r="AY232" s="113">
        <f>AE232*Valores!$C$51</f>
        <v>549.52464599999996</v>
      </c>
      <c r="AZ232" s="114"/>
      <c r="BA232" s="114">
        <f t="shared" si="42"/>
        <v>3</v>
      </c>
      <c r="BB232" s="111" t="s">
        <v>4</v>
      </c>
    </row>
    <row r="233" spans="1:54" s="100" customFormat="1" ht="11.25" customHeight="1" x14ac:dyDescent="0.15">
      <c r="A233" s="111" t="s">
        <v>433</v>
      </c>
      <c r="B233" s="111">
        <v>4</v>
      </c>
      <c r="C233" s="114">
        <v>226</v>
      </c>
      <c r="D233" s="112" t="str">
        <f>CONCATENATE("Hora Cátedra Enseñanza Media ",B233," hs")</f>
        <v>Hora Cátedra Enseñanza Media 4 hs</v>
      </c>
      <c r="E233" s="169">
        <v>316</v>
      </c>
      <c r="F233" s="113">
        <f>ROUND(E233*Valores!$C$2,2)</f>
        <v>30906.7</v>
      </c>
      <c r="G233" s="169">
        <v>0</v>
      </c>
      <c r="H233" s="113">
        <f>ROUND(G233*Valores!$C$2,2)</f>
        <v>0</v>
      </c>
      <c r="I233" s="169">
        <v>0</v>
      </c>
      <c r="J233" s="113">
        <f>ROUND(I233*Valores!$C$2,2)</f>
        <v>0</v>
      </c>
      <c r="K233" s="169">
        <v>0</v>
      </c>
      <c r="L233" s="113">
        <f>ROUND(K233*Valores!$C$2,2)</f>
        <v>0</v>
      </c>
      <c r="M233" s="113">
        <f>ROUND(IF($H$2=0,IF(AND(A233&lt;&gt;"13-930",A233&lt;&gt;"13-940"),(SUM(F233,H233,J233,L233,W233,S233,Q233)*Valores!$C$4),0),0),2)</f>
        <v>10516.86</v>
      </c>
      <c r="N233" s="113">
        <f t="shared" si="36"/>
        <v>0</v>
      </c>
      <c r="O233" s="113">
        <f>Valores!C$65*B233</f>
        <v>26605.48</v>
      </c>
      <c r="P233" s="113">
        <f>ROUND(IF((Valores!$E$5*B233)&lt;=Valores!$F$5,Valores!$E$5*B233,Valores!$F$5),2)</f>
        <v>13332.92</v>
      </c>
      <c r="Q233" s="113">
        <f>IF($F$4="NO",Valores!$C$28*B233,Valores!$C$28*B233/2)</f>
        <v>6988.16</v>
      </c>
      <c r="R233" s="113">
        <f>Valores!$C$7*B233</f>
        <v>4172.5600000000004</v>
      </c>
      <c r="S233" s="113">
        <f t="shared" si="41"/>
        <v>4172.5600000000004</v>
      </c>
      <c r="T233" s="113">
        <v>0</v>
      </c>
      <c r="U233" s="113">
        <v>0</v>
      </c>
      <c r="V233" s="169">
        <v>0</v>
      </c>
      <c r="W233" s="113">
        <f>ROUND(V233*Valores!$C$2,2)</f>
        <v>0</v>
      </c>
      <c r="X233" s="113">
        <v>0</v>
      </c>
      <c r="Y233" s="188">
        <v>0</v>
      </c>
      <c r="Z233" s="113">
        <f t="shared" si="37"/>
        <v>0</v>
      </c>
      <c r="AA233" s="169">
        <v>0</v>
      </c>
      <c r="AB233" s="113">
        <f>ROUND(AA233*Valores!$C$2,2)</f>
        <v>0</v>
      </c>
      <c r="AC233" s="113">
        <f>ROUND(IF($F$4="NO",Valores!$C$33*B233,Valores!$C$33*B233/2),2)</f>
        <v>6234.07</v>
      </c>
      <c r="AD233" s="113">
        <f>SUM(F233,H233,J233,L233,M233,N233,O233,P233,Q233,S233,T233,U233,W233,X233,Z233,AB233,AC233)*Valores!$C$58</f>
        <v>9875.6750000000011</v>
      </c>
      <c r="AE233" s="113">
        <f t="shared" si="38"/>
        <v>108632.425</v>
      </c>
      <c r="AF233" s="113">
        <f>IF(Valores!$C$13*B233&gt;Valores!$F$13,Valores!$F$13,Valores!$C$13*B233)</f>
        <v>9714.1333333333332</v>
      </c>
      <c r="AG233" s="113">
        <f>IF((Valores!$C$59/20*B233)&gt;Valores!$C$59,Valores!$C$59,Valores!$C$59/20*B233)</f>
        <v>5000</v>
      </c>
      <c r="AH233" s="113">
        <f t="shared" si="34"/>
        <v>14714.133333333333</v>
      </c>
      <c r="AI233" s="113">
        <f>AE233*Valores!$C$39</f>
        <v>-11949.56675</v>
      </c>
      <c r="AJ233" s="113">
        <f>IF(AE233&lt;Valores!$E$40,-0.02,IF(AE233&lt;Valores!$F$40,-0.03,-0.04))*AE233</f>
        <v>-2172.6485000000002</v>
      </c>
      <c r="AK233" s="113">
        <f>AE233*Valores!$C$42</f>
        <v>-5974.783375</v>
      </c>
      <c r="AL233" s="113">
        <f>Valores!$C$56</f>
        <v>-1270.1600000000001</v>
      </c>
      <c r="AM233" s="113">
        <f>IF($F$5=0,Valores!$C$57,(Valores!$C$57+$F$5*(Valores!$C$57)))</f>
        <v>-7026</v>
      </c>
      <c r="AN233" s="113">
        <f t="shared" si="39"/>
        <v>94953.399708333338</v>
      </c>
      <c r="AO233" s="113">
        <f t="shared" si="33"/>
        <v>-11949.56675</v>
      </c>
      <c r="AP233" s="113">
        <f t="shared" si="40"/>
        <v>-2172.6485000000002</v>
      </c>
      <c r="AQ233" s="113">
        <f>AE233*Valores!$C$43</f>
        <v>-2933.0754750000001</v>
      </c>
      <c r="AR233" s="113">
        <f>AE233*Valores!$C$44</f>
        <v>-325.89727500000004</v>
      </c>
      <c r="AS233" s="113">
        <f t="shared" si="35"/>
        <v>105965.37033333333</v>
      </c>
      <c r="AT233" s="113">
        <f>AE233*Valores!$C$46</f>
        <v>17381.188000000002</v>
      </c>
      <c r="AU233" s="113">
        <f>AE233*Valores!$C$47</f>
        <v>7604.2697500000013</v>
      </c>
      <c r="AV233" s="113">
        <f>AE233*Valores!$C$48</f>
        <v>1086.3242500000001</v>
      </c>
      <c r="AW233" s="113">
        <f>AE233*Valores!$C$50</f>
        <v>3802.1348750000006</v>
      </c>
      <c r="AX233" s="113">
        <f>AE233*Valores!$C$52</f>
        <v>5866.1509500000002</v>
      </c>
      <c r="AY233" s="113">
        <f>AE233*Valores!$C$51</f>
        <v>651.79455000000007</v>
      </c>
      <c r="AZ233" s="114"/>
      <c r="BA233" s="114">
        <f t="shared" si="42"/>
        <v>4</v>
      </c>
      <c r="BB233" s="111" t="s">
        <v>4</v>
      </c>
    </row>
    <row r="234" spans="1:54" s="100" customFormat="1" ht="11.25" customHeight="1" x14ac:dyDescent="0.15">
      <c r="A234" s="111" t="s">
        <v>433</v>
      </c>
      <c r="B234" s="111">
        <v>4</v>
      </c>
      <c r="C234" s="114">
        <v>227</v>
      </c>
      <c r="D234" s="112" t="str">
        <f>CONCATENATE("Hora Cátedra Enseñanza Media ",B234," hs Esc Esp")</f>
        <v>Hora Cátedra Enseñanza Media 4 hs Esc Esp</v>
      </c>
      <c r="E234" s="169">
        <v>316</v>
      </c>
      <c r="F234" s="113">
        <f>ROUND(E234*Valores!$C$2,2)</f>
        <v>30906.7</v>
      </c>
      <c r="G234" s="169">
        <v>0</v>
      </c>
      <c r="H234" s="113">
        <f>ROUND(G234*Valores!$C$2,2)</f>
        <v>0</v>
      </c>
      <c r="I234" s="169">
        <v>0</v>
      </c>
      <c r="J234" s="113">
        <f>ROUND(I234*Valores!$C$2,2)</f>
        <v>0</v>
      </c>
      <c r="K234" s="169">
        <v>0</v>
      </c>
      <c r="L234" s="113">
        <f>ROUND(K234*Valores!$C$2,2)</f>
        <v>0</v>
      </c>
      <c r="M234" s="113">
        <f>ROUND(IF($H$2=0,IF(AND(A234&lt;&gt;"13-930",A234&lt;&gt;"13-940"),(SUM(F234,H234,J234,L234,W234,S234,Q234)*Valores!$C$4),0),0),2)</f>
        <v>10516.86</v>
      </c>
      <c r="N234" s="113">
        <f t="shared" si="36"/>
        <v>0</v>
      </c>
      <c r="O234" s="113">
        <f>Valores!C$65*B234</f>
        <v>26605.48</v>
      </c>
      <c r="P234" s="113">
        <f>ROUND(IF((Valores!$E$5*B234)&lt;=Valores!$F$5,Valores!$E$5*B234,Valores!$F$5),2)</f>
        <v>13332.92</v>
      </c>
      <c r="Q234" s="113">
        <f>IF($F$4="NO",Valores!$C$28*B234,Valores!$C$28*B234/2)</f>
        <v>6988.16</v>
      </c>
      <c r="R234" s="113">
        <f>Valores!$C$7*B234</f>
        <v>4172.5600000000004</v>
      </c>
      <c r="S234" s="113">
        <f t="shared" si="41"/>
        <v>4172.5600000000004</v>
      </c>
      <c r="T234" s="113">
        <v>0</v>
      </c>
      <c r="U234" s="113">
        <v>0</v>
      </c>
      <c r="V234" s="169">
        <v>0</v>
      </c>
      <c r="W234" s="113">
        <f>ROUND(V234*Valores!$C$2,2)</f>
        <v>0</v>
      </c>
      <c r="X234" s="113">
        <v>0</v>
      </c>
      <c r="Y234" s="188">
        <v>0</v>
      </c>
      <c r="Z234" s="113">
        <f t="shared" si="37"/>
        <v>0</v>
      </c>
      <c r="AA234" s="169">
        <v>94</v>
      </c>
      <c r="AB234" s="113">
        <f>ROUND(AA234*Valores!$C$2,2)</f>
        <v>9193.76</v>
      </c>
      <c r="AC234" s="113">
        <f>ROUND(IF($F$4="NO",Valores!$C$33*B234,Valores!$C$33*B234/2),2)</f>
        <v>6234.07</v>
      </c>
      <c r="AD234" s="113">
        <f>SUM(F234,H234,J234,L234,M234,N234,O234,P234,Q234,S234,T234,U234,W234,X234,Z234,AB234,AC234)*Valores!$C$58</f>
        <v>10795.050999999999</v>
      </c>
      <c r="AE234" s="113">
        <f t="shared" si="38"/>
        <v>118745.56099999999</v>
      </c>
      <c r="AF234" s="113">
        <f>IF(Valores!$C$13*B234&gt;Valores!$F$13,Valores!$F$13,Valores!$C$13*B234)</f>
        <v>9714.1333333333332</v>
      </c>
      <c r="AG234" s="113">
        <f>IF((Valores!$C$59/20*B234)&gt;Valores!$C$59,Valores!$C$59,Valores!$C$59/20*B234)</f>
        <v>5000</v>
      </c>
      <c r="AH234" s="113">
        <f t="shared" si="34"/>
        <v>14714.133333333333</v>
      </c>
      <c r="AI234" s="113">
        <f>AE234*Valores!$C$39</f>
        <v>-13062.011709999999</v>
      </c>
      <c r="AJ234" s="113">
        <f>IF(AE234&lt;Valores!$E$40,-0.02,IF(AE234&lt;Valores!$F$40,-0.03,-0.04))*AE234</f>
        <v>-2374.91122</v>
      </c>
      <c r="AK234" s="113">
        <f>AE234*Valores!$C$42</f>
        <v>-6531.0058549999994</v>
      </c>
      <c r="AL234" s="113">
        <f>Valores!$C$56</f>
        <v>-1270.1600000000001</v>
      </c>
      <c r="AM234" s="113">
        <f>IF($F$5=0,Valores!$C$57,(Valores!$C$57+$F$5*(Valores!$C$57)))</f>
        <v>-7026</v>
      </c>
      <c r="AN234" s="113">
        <f t="shared" si="39"/>
        <v>103195.60554833332</v>
      </c>
      <c r="AO234" s="113">
        <f t="shared" si="33"/>
        <v>-13062.011709999999</v>
      </c>
      <c r="AP234" s="113">
        <f t="shared" si="40"/>
        <v>-2374.91122</v>
      </c>
      <c r="AQ234" s="113">
        <f>AE234*Valores!$C$43</f>
        <v>-3206.1301469999994</v>
      </c>
      <c r="AR234" s="113">
        <f>AE234*Valores!$C$44</f>
        <v>-356.23668299999997</v>
      </c>
      <c r="AS234" s="113">
        <f t="shared" si="35"/>
        <v>114460.40457333332</v>
      </c>
      <c r="AT234" s="113">
        <f>AE234*Valores!$C$46</f>
        <v>18999.28976</v>
      </c>
      <c r="AU234" s="113">
        <f>AE234*Valores!$C$47</f>
        <v>8312.1892700000008</v>
      </c>
      <c r="AV234" s="113">
        <f>AE234*Valores!$C$48</f>
        <v>1187.45561</v>
      </c>
      <c r="AW234" s="113">
        <f>AE234*Valores!$C$50</f>
        <v>4156.0946350000004</v>
      </c>
      <c r="AX234" s="113">
        <f>AE234*Valores!$C$52</f>
        <v>6412.2602939999988</v>
      </c>
      <c r="AY234" s="113">
        <f>AE234*Valores!$C$51</f>
        <v>712.47336599999994</v>
      </c>
      <c r="AZ234" s="114"/>
      <c r="BA234" s="114">
        <f t="shared" si="42"/>
        <v>4</v>
      </c>
      <c r="BB234" s="111" t="s">
        <v>4</v>
      </c>
    </row>
    <row r="235" spans="1:54" s="100" customFormat="1" ht="11.25" customHeight="1" x14ac:dyDescent="0.15">
      <c r="A235" s="111" t="s">
        <v>433</v>
      </c>
      <c r="B235" s="111">
        <v>5</v>
      </c>
      <c r="C235" s="114">
        <v>228</v>
      </c>
      <c r="D235" s="112" t="str">
        <f>CONCATENATE("Hora Cátedra Enseñanza Media ",B235," hs")</f>
        <v>Hora Cátedra Enseñanza Media 5 hs</v>
      </c>
      <c r="E235" s="169">
        <v>395</v>
      </c>
      <c r="F235" s="113">
        <f>ROUND(E235*Valores!$C$2,2)</f>
        <v>38633.370000000003</v>
      </c>
      <c r="G235" s="169">
        <v>0</v>
      </c>
      <c r="H235" s="113">
        <f>ROUND(G235*Valores!$C$2,2)</f>
        <v>0</v>
      </c>
      <c r="I235" s="169">
        <v>0</v>
      </c>
      <c r="J235" s="113">
        <f>ROUND(I235*Valores!$C$2,2)</f>
        <v>0</v>
      </c>
      <c r="K235" s="169">
        <v>0</v>
      </c>
      <c r="L235" s="113">
        <f>ROUND(K235*Valores!$C$2,2)</f>
        <v>0</v>
      </c>
      <c r="M235" s="113">
        <f>ROUND(IF($H$2=0,IF(AND(A235&lt;&gt;"13-930",A235&lt;&gt;"13-940"),(SUM(F235,H235,J235,L235,W235,S235,Q235)*Valores!$C$4),0),0),2)</f>
        <v>13146.07</v>
      </c>
      <c r="N235" s="113">
        <f t="shared" si="36"/>
        <v>0</v>
      </c>
      <c r="O235" s="113">
        <f>Valores!C$65*B235</f>
        <v>33256.85</v>
      </c>
      <c r="P235" s="113">
        <f>ROUND(IF((Valores!$E$5*B235)&lt;=Valores!$F$5,Valores!$E$5*B235,Valores!$F$5),2)</f>
        <v>16666.150000000001</v>
      </c>
      <c r="Q235" s="113">
        <f>IF($F$4="NO",Valores!$C$28*B235,Valores!$C$28*B235/2)</f>
        <v>8735.2000000000007</v>
      </c>
      <c r="R235" s="113">
        <f>Valores!$C$7*B235</f>
        <v>5215.7000000000007</v>
      </c>
      <c r="S235" s="113">
        <f t="shared" si="41"/>
        <v>5215.7</v>
      </c>
      <c r="T235" s="113">
        <v>0</v>
      </c>
      <c r="U235" s="113">
        <v>0</v>
      </c>
      <c r="V235" s="169">
        <v>0</v>
      </c>
      <c r="W235" s="113">
        <f>ROUND(V235*Valores!$C$2,2)</f>
        <v>0</v>
      </c>
      <c r="X235" s="113">
        <v>0</v>
      </c>
      <c r="Y235" s="188">
        <v>0</v>
      </c>
      <c r="Z235" s="113">
        <f t="shared" si="37"/>
        <v>0</v>
      </c>
      <c r="AA235" s="169">
        <v>0</v>
      </c>
      <c r="AB235" s="113">
        <f>ROUND(AA235*Valores!$C$2,2)</f>
        <v>0</v>
      </c>
      <c r="AC235" s="113">
        <f>ROUND(IF($F$4="NO",Valores!$C$33*B235,Valores!$C$33*B235/2),2)</f>
        <v>7792.59</v>
      </c>
      <c r="AD235" s="113">
        <f>SUM(F235,H235,J235,L235,M235,N235,O235,P235,Q235,S235,T235,U235,W235,X235,Z235,AB235,AC235)*Valores!$C$58</f>
        <v>12344.593000000001</v>
      </c>
      <c r="AE235" s="113">
        <f t="shared" si="38"/>
        <v>135790.52299999999</v>
      </c>
      <c r="AF235" s="113">
        <f>IF(Valores!$C$13*B235&gt;Valores!$F$13,Valores!$F$13,Valores!$C$13*B235)</f>
        <v>12142.666666666666</v>
      </c>
      <c r="AG235" s="113">
        <f>IF((Valores!$C$59/20*B235)&gt;Valores!$C$59,Valores!$C$59,Valores!$C$59/20*B235)</f>
        <v>6250</v>
      </c>
      <c r="AH235" s="113">
        <f t="shared" si="34"/>
        <v>18392.666666666664</v>
      </c>
      <c r="AI235" s="113">
        <f>AE235*Valores!$C$39</f>
        <v>-14936.957529999998</v>
      </c>
      <c r="AJ235" s="113">
        <f>IF(AE235&lt;Valores!$E$40,-0.02,IF(AE235&lt;Valores!$F$40,-0.03,-0.04))*AE235</f>
        <v>-2715.8104599999997</v>
      </c>
      <c r="AK235" s="113">
        <f>AE235*Valores!$C$42</f>
        <v>-7468.4787649999989</v>
      </c>
      <c r="AL235" s="113">
        <f>Valores!$C$56</f>
        <v>-1270.1600000000001</v>
      </c>
      <c r="AM235" s="113">
        <f>IF($F$5=0,Valores!$C$57,(Valores!$C$57+$F$5*(Valores!$C$57)))</f>
        <v>-7026</v>
      </c>
      <c r="AN235" s="113">
        <f t="shared" si="39"/>
        <v>120765.78291166665</v>
      </c>
      <c r="AO235" s="113">
        <f t="shared" si="33"/>
        <v>-14936.957529999998</v>
      </c>
      <c r="AP235" s="113">
        <f t="shared" si="40"/>
        <v>-2715.8104599999997</v>
      </c>
      <c r="AQ235" s="113">
        <f>AE235*Valores!$C$43</f>
        <v>-3666.3441209999996</v>
      </c>
      <c r="AR235" s="113">
        <f>AE235*Valores!$C$44</f>
        <v>-407.37156899999997</v>
      </c>
      <c r="AS235" s="113">
        <f t="shared" si="35"/>
        <v>132456.70598666664</v>
      </c>
      <c r="AT235" s="113">
        <f>AE235*Valores!$C$46</f>
        <v>21726.483679999998</v>
      </c>
      <c r="AU235" s="113">
        <f>AE235*Valores!$C$47</f>
        <v>9505.3366100000003</v>
      </c>
      <c r="AV235" s="113">
        <f>AE235*Valores!$C$48</f>
        <v>1357.9052299999998</v>
      </c>
      <c r="AW235" s="113">
        <f>AE235*Valores!$C$50</f>
        <v>4752.6683050000001</v>
      </c>
      <c r="AX235" s="113">
        <f>AE235*Valores!$C$52</f>
        <v>7332.6882419999993</v>
      </c>
      <c r="AY235" s="113">
        <f>AE235*Valores!$C$51</f>
        <v>814.74313799999993</v>
      </c>
      <c r="AZ235" s="114"/>
      <c r="BA235" s="114">
        <f t="shared" si="42"/>
        <v>5</v>
      </c>
      <c r="BB235" s="111" t="s">
        <v>4</v>
      </c>
    </row>
    <row r="236" spans="1:54" s="100" customFormat="1" ht="11.25" customHeight="1" x14ac:dyDescent="0.15">
      <c r="A236" s="111" t="s">
        <v>433</v>
      </c>
      <c r="B236" s="111">
        <v>5</v>
      </c>
      <c r="C236" s="114">
        <v>229</v>
      </c>
      <c r="D236" s="112" t="str">
        <f>CONCATENATE("Hora Cátedra Enseñanza Media ",B236," hs Esc Esp")</f>
        <v>Hora Cátedra Enseñanza Media 5 hs Esc Esp</v>
      </c>
      <c r="E236" s="169">
        <v>395</v>
      </c>
      <c r="F236" s="113">
        <f>ROUND(E236*Valores!$C$2,2)</f>
        <v>38633.370000000003</v>
      </c>
      <c r="G236" s="169">
        <v>0</v>
      </c>
      <c r="H236" s="113">
        <f>ROUND(G236*Valores!$C$2,2)</f>
        <v>0</v>
      </c>
      <c r="I236" s="169">
        <v>0</v>
      </c>
      <c r="J236" s="113">
        <f>ROUND(I236*Valores!$C$2,2)</f>
        <v>0</v>
      </c>
      <c r="K236" s="169">
        <v>0</v>
      </c>
      <c r="L236" s="113">
        <f>ROUND(K236*Valores!$C$2,2)</f>
        <v>0</v>
      </c>
      <c r="M236" s="113">
        <f>ROUND(IF($H$2=0,IF(AND(A236&lt;&gt;"13-930",A236&lt;&gt;"13-940"),(SUM(F236,H236,J236,L236,W236,S236,Q236)*Valores!$C$4),0),0),2)</f>
        <v>13146.07</v>
      </c>
      <c r="N236" s="113">
        <f t="shared" si="36"/>
        <v>0</v>
      </c>
      <c r="O236" s="113">
        <f>Valores!C$65*B236</f>
        <v>33256.85</v>
      </c>
      <c r="P236" s="113">
        <f>ROUND(IF((Valores!$E$5*B236)&lt;=Valores!$F$5,Valores!$E$5*B236,Valores!$F$5),2)</f>
        <v>16666.150000000001</v>
      </c>
      <c r="Q236" s="113">
        <f>IF($F$4="NO",Valores!$C$28*B236,Valores!$C$28*B236/2)</f>
        <v>8735.2000000000007</v>
      </c>
      <c r="R236" s="113">
        <f>Valores!$C$7*B236</f>
        <v>5215.7000000000007</v>
      </c>
      <c r="S236" s="113">
        <f t="shared" si="41"/>
        <v>5215.7</v>
      </c>
      <c r="T236" s="113">
        <v>0</v>
      </c>
      <c r="U236" s="113">
        <v>0</v>
      </c>
      <c r="V236" s="169">
        <v>0</v>
      </c>
      <c r="W236" s="113">
        <f>ROUND(V236*Valores!$C$2,2)</f>
        <v>0</v>
      </c>
      <c r="X236" s="113">
        <v>0</v>
      </c>
      <c r="Y236" s="188">
        <v>0</v>
      </c>
      <c r="Z236" s="113">
        <f t="shared" si="37"/>
        <v>0</v>
      </c>
      <c r="AA236" s="169">
        <v>94</v>
      </c>
      <c r="AB236" s="113">
        <f>ROUND(AA236*Valores!$C$2,2)</f>
        <v>9193.76</v>
      </c>
      <c r="AC236" s="113">
        <f>ROUND(IF($F$4="NO",Valores!$C$33*B236,Valores!$C$33*B236/2),2)</f>
        <v>7792.59</v>
      </c>
      <c r="AD236" s="113">
        <f>SUM(F236,H236,J236,L236,M236,N236,O236,P236,Q236,S236,T236,U236,W236,X236,Z236,AB236,AC236)*Valores!$C$58</f>
        <v>13263.969000000001</v>
      </c>
      <c r="AE236" s="113">
        <f t="shared" si="38"/>
        <v>145903.65900000001</v>
      </c>
      <c r="AF236" s="113">
        <f>IF(Valores!$C$13*B236&gt;Valores!$F$13,Valores!$F$13,Valores!$C$13*B236)</f>
        <v>12142.666666666666</v>
      </c>
      <c r="AG236" s="113">
        <f>IF((Valores!$C$59/20*B236)&gt;Valores!$C$59,Valores!$C$59,Valores!$C$59/20*B236)</f>
        <v>6250</v>
      </c>
      <c r="AH236" s="113">
        <f t="shared" si="34"/>
        <v>18392.666666666664</v>
      </c>
      <c r="AI236" s="113">
        <f>AE236*Valores!$C$39</f>
        <v>-16049.402490000002</v>
      </c>
      <c r="AJ236" s="113">
        <f>IF(AE236&lt;Valores!$E$40,-0.02,IF(AE236&lt;Valores!$F$40,-0.03,-0.04))*AE236</f>
        <v>-2918.0731800000003</v>
      </c>
      <c r="AK236" s="113">
        <f>AE236*Valores!$C$42</f>
        <v>-8024.7012450000011</v>
      </c>
      <c r="AL236" s="113">
        <f>Valores!$C$56</f>
        <v>-1270.1600000000001</v>
      </c>
      <c r="AM236" s="113">
        <f>IF($F$5=0,Valores!$C$57,(Valores!$C$57+$F$5*(Valores!$C$57)))</f>
        <v>-7026</v>
      </c>
      <c r="AN236" s="113">
        <f t="shared" si="39"/>
        <v>129007.98875166668</v>
      </c>
      <c r="AO236" s="113">
        <f t="shared" si="33"/>
        <v>-16049.402490000002</v>
      </c>
      <c r="AP236" s="113">
        <f t="shared" si="40"/>
        <v>-2918.0731800000003</v>
      </c>
      <c r="AQ236" s="113">
        <f>AE236*Valores!$C$43</f>
        <v>-3939.3987930000003</v>
      </c>
      <c r="AR236" s="113">
        <f>AE236*Valores!$C$44</f>
        <v>-437.71097700000007</v>
      </c>
      <c r="AS236" s="113">
        <f t="shared" si="35"/>
        <v>140951.74022666668</v>
      </c>
      <c r="AT236" s="113">
        <f>AE236*Valores!$C$46</f>
        <v>23344.585440000003</v>
      </c>
      <c r="AU236" s="113">
        <f>AE236*Valores!$C$47</f>
        <v>10213.256130000002</v>
      </c>
      <c r="AV236" s="113">
        <f>AE236*Valores!$C$48</f>
        <v>1459.0365900000002</v>
      </c>
      <c r="AW236" s="113">
        <f>AE236*Valores!$C$50</f>
        <v>5106.6280650000008</v>
      </c>
      <c r="AX236" s="113">
        <f>AE236*Valores!$C$52</f>
        <v>7878.7975860000006</v>
      </c>
      <c r="AY236" s="113">
        <f>AE236*Valores!$C$51</f>
        <v>875.42195400000014</v>
      </c>
      <c r="AZ236" s="114"/>
      <c r="BA236" s="114">
        <f t="shared" si="42"/>
        <v>5</v>
      </c>
      <c r="BB236" s="111" t="s">
        <v>4</v>
      </c>
    </row>
    <row r="237" spans="1:54" s="100" customFormat="1" ht="11.25" customHeight="1" x14ac:dyDescent="0.15">
      <c r="A237" s="111" t="s">
        <v>433</v>
      </c>
      <c r="B237" s="111">
        <v>6</v>
      </c>
      <c r="C237" s="114">
        <v>230</v>
      </c>
      <c r="D237" s="112" t="str">
        <f>CONCATENATE("Hora Cátedra Enseñanza Media ",B237," hs")</f>
        <v>Hora Cátedra Enseñanza Media 6 hs</v>
      </c>
      <c r="E237" s="169">
        <v>474</v>
      </c>
      <c r="F237" s="113">
        <f>ROUND(E237*Valores!$C$2,2)</f>
        <v>46360.04</v>
      </c>
      <c r="G237" s="169">
        <v>0</v>
      </c>
      <c r="H237" s="113">
        <f>ROUND(G237*Valores!$C$2,2)</f>
        <v>0</v>
      </c>
      <c r="I237" s="169">
        <v>0</v>
      </c>
      <c r="J237" s="113">
        <f>ROUND(I237*Valores!$C$2,2)</f>
        <v>0</v>
      </c>
      <c r="K237" s="169">
        <v>0</v>
      </c>
      <c r="L237" s="113">
        <f>ROUND(K237*Valores!$C$2,2)</f>
        <v>0</v>
      </c>
      <c r="M237" s="113">
        <f>ROUND(IF($H$2=0,IF(AND(A237&lt;&gt;"13-930",A237&lt;&gt;"13-940"),(SUM(F237,H237,J237,L237,W237,S237,Q237)*Valores!$C$4),0),0),2)</f>
        <v>15775.28</v>
      </c>
      <c r="N237" s="113">
        <f t="shared" si="36"/>
        <v>0</v>
      </c>
      <c r="O237" s="113">
        <f>Valores!C$65*B237</f>
        <v>39908.22</v>
      </c>
      <c r="P237" s="113">
        <f>ROUND(IF((Valores!$E$5*B237)&lt;=Valores!$F$5,Valores!$E$5*B237,Valores!$F$5),2)</f>
        <v>19999.38</v>
      </c>
      <c r="Q237" s="113">
        <f>IF($F$4="NO",Valores!$C$28*B237,Valores!$C$28*B237/2)</f>
        <v>10482.24</v>
      </c>
      <c r="R237" s="113">
        <f>Valores!$C$7*B237</f>
        <v>6258.84</v>
      </c>
      <c r="S237" s="113">
        <f t="shared" si="41"/>
        <v>6258.84</v>
      </c>
      <c r="T237" s="113">
        <v>0</v>
      </c>
      <c r="U237" s="113">
        <v>0</v>
      </c>
      <c r="V237" s="169">
        <v>0</v>
      </c>
      <c r="W237" s="113">
        <f>ROUND(V237*Valores!$C$2,2)</f>
        <v>0</v>
      </c>
      <c r="X237" s="113">
        <v>0</v>
      </c>
      <c r="Y237" s="188">
        <v>0</v>
      </c>
      <c r="Z237" s="113">
        <f t="shared" si="37"/>
        <v>0</v>
      </c>
      <c r="AA237" s="169">
        <v>0</v>
      </c>
      <c r="AB237" s="113">
        <f>ROUND(AA237*Valores!$C$2,2)</f>
        <v>0</v>
      </c>
      <c r="AC237" s="113">
        <f>ROUND(IF($F$4="NO",Valores!$C$33*B237,Valores!$C$33*B237/2),2)</f>
        <v>9351.11</v>
      </c>
      <c r="AD237" s="113">
        <f>SUM(F237,H237,J237,L237,M237,N237,O237,P237,Q237,S237,T237,U237,W237,X237,Z237,AB237,AC237)*Valores!$C$58</f>
        <v>14813.510999999999</v>
      </c>
      <c r="AE237" s="113">
        <f t="shared" si="38"/>
        <v>162948.62099999998</v>
      </c>
      <c r="AF237" s="113">
        <f>IF(Valores!$C$13*B237&gt;Valores!$F$13,Valores!$F$13,Valores!$C$13*B237)</f>
        <v>14571.2</v>
      </c>
      <c r="AG237" s="113">
        <f>IF((Valores!$C$59/20*B237)&gt;Valores!$C$59,Valores!$C$59,Valores!$C$59/20*B237)</f>
        <v>7500</v>
      </c>
      <c r="AH237" s="113">
        <f t="shared" si="34"/>
        <v>22071.200000000001</v>
      </c>
      <c r="AI237" s="113">
        <f>AE237*Valores!$C$39</f>
        <v>-17924.348309999998</v>
      </c>
      <c r="AJ237" s="113">
        <f>IF(AE237&lt;Valores!$E$40,-0.02,IF(AE237&lt;Valores!$F$40,-0.03,-0.04))*AE237</f>
        <v>-3258.9724199999996</v>
      </c>
      <c r="AK237" s="113">
        <f>AE237*Valores!$C$42</f>
        <v>-8962.1741549999988</v>
      </c>
      <c r="AL237" s="113">
        <f>Valores!$C$56</f>
        <v>-1270.1600000000001</v>
      </c>
      <c r="AM237" s="113">
        <f>IF($F$5=0,Valores!$C$57,(Valores!$C$57+$F$5*(Valores!$C$57)))</f>
        <v>-7026</v>
      </c>
      <c r="AN237" s="113">
        <f t="shared" si="39"/>
        <v>146578.166115</v>
      </c>
      <c r="AO237" s="113">
        <f t="shared" si="33"/>
        <v>-17924.348309999998</v>
      </c>
      <c r="AP237" s="113">
        <f t="shared" si="40"/>
        <v>-3258.9724199999996</v>
      </c>
      <c r="AQ237" s="113">
        <f>AE237*Valores!$C$43</f>
        <v>-4399.6127669999996</v>
      </c>
      <c r="AR237" s="113">
        <f>AE237*Valores!$C$44</f>
        <v>-488.84586299999995</v>
      </c>
      <c r="AS237" s="113">
        <f t="shared" si="35"/>
        <v>158948.04164000001</v>
      </c>
      <c r="AT237" s="113">
        <f>AE237*Valores!$C$46</f>
        <v>26071.779359999997</v>
      </c>
      <c r="AU237" s="113">
        <f>AE237*Valores!$C$47</f>
        <v>11406.403469999999</v>
      </c>
      <c r="AV237" s="113">
        <f>AE237*Valores!$C$48</f>
        <v>1629.4862099999998</v>
      </c>
      <c r="AW237" s="113">
        <f>AE237*Valores!$C$50</f>
        <v>5703.2017349999996</v>
      </c>
      <c r="AX237" s="113">
        <f>AE237*Valores!$C$52</f>
        <v>8799.2255339999992</v>
      </c>
      <c r="AY237" s="113">
        <f>AE237*Valores!$C$51</f>
        <v>977.6917259999999</v>
      </c>
      <c r="AZ237" s="114"/>
      <c r="BA237" s="114">
        <f t="shared" si="42"/>
        <v>6</v>
      </c>
      <c r="BB237" s="111" t="s">
        <v>4</v>
      </c>
    </row>
    <row r="238" spans="1:54" s="100" customFormat="1" ht="11.25" customHeight="1" x14ac:dyDescent="0.15">
      <c r="A238" s="111" t="s">
        <v>433</v>
      </c>
      <c r="B238" s="111">
        <v>6</v>
      </c>
      <c r="C238" s="114">
        <v>231</v>
      </c>
      <c r="D238" s="112" t="str">
        <f>CONCATENATE("Hora Cátedra Enseñanza Media ",B238," hs Esc Esp")</f>
        <v>Hora Cátedra Enseñanza Media 6 hs Esc Esp</v>
      </c>
      <c r="E238" s="169">
        <v>474</v>
      </c>
      <c r="F238" s="113">
        <f>ROUND(E238*Valores!$C$2,2)</f>
        <v>46360.04</v>
      </c>
      <c r="G238" s="169">
        <v>0</v>
      </c>
      <c r="H238" s="113">
        <f>ROUND(G238*Valores!$C$2,2)</f>
        <v>0</v>
      </c>
      <c r="I238" s="169">
        <v>0</v>
      </c>
      <c r="J238" s="113">
        <f>ROUND(I238*Valores!$C$2,2)</f>
        <v>0</v>
      </c>
      <c r="K238" s="169">
        <v>0</v>
      </c>
      <c r="L238" s="113">
        <f>ROUND(K238*Valores!$C$2,2)</f>
        <v>0</v>
      </c>
      <c r="M238" s="113">
        <f>ROUND(IF($H$2=0,IF(AND(A238&lt;&gt;"13-930",A238&lt;&gt;"13-940"),(SUM(F238,H238,J238,L238,W238,S238,Q238)*Valores!$C$4),0),0),2)</f>
        <v>15775.28</v>
      </c>
      <c r="N238" s="113">
        <f t="shared" si="36"/>
        <v>0</v>
      </c>
      <c r="O238" s="113">
        <f>Valores!C$65*B238</f>
        <v>39908.22</v>
      </c>
      <c r="P238" s="113">
        <f>ROUND(IF((Valores!$E$5*B238)&lt;=Valores!$F$5,Valores!$E$5*B238,Valores!$F$5),2)</f>
        <v>19999.38</v>
      </c>
      <c r="Q238" s="113">
        <f>IF($F$4="NO",Valores!$C$28*B238,Valores!$C$28*B238/2)</f>
        <v>10482.24</v>
      </c>
      <c r="R238" s="113">
        <f>Valores!$C$7*B238</f>
        <v>6258.84</v>
      </c>
      <c r="S238" s="113">
        <f t="shared" si="41"/>
        <v>6258.84</v>
      </c>
      <c r="T238" s="113">
        <v>0</v>
      </c>
      <c r="U238" s="113">
        <v>0</v>
      </c>
      <c r="V238" s="169">
        <v>0</v>
      </c>
      <c r="W238" s="113">
        <f>ROUND(V238*Valores!$C$2,2)</f>
        <v>0</v>
      </c>
      <c r="X238" s="113">
        <v>0</v>
      </c>
      <c r="Y238" s="188">
        <v>0</v>
      </c>
      <c r="Z238" s="113">
        <f t="shared" si="37"/>
        <v>0</v>
      </c>
      <c r="AA238" s="169">
        <v>94</v>
      </c>
      <c r="AB238" s="113">
        <f>ROUND(AA238*Valores!$C$2,2)</f>
        <v>9193.76</v>
      </c>
      <c r="AC238" s="113">
        <f>ROUND(IF($F$4="NO",Valores!$C$33*B238,Valores!$C$33*B238/2),2)</f>
        <v>9351.11</v>
      </c>
      <c r="AD238" s="113">
        <f>SUM(F238,H238,J238,L238,M238,N238,O238,P238,Q238,S238,T238,U238,W238,X238,Z238,AB238,AC238)*Valores!$C$58</f>
        <v>15732.887000000001</v>
      </c>
      <c r="AE238" s="113">
        <f t="shared" si="38"/>
        <v>173061.75699999998</v>
      </c>
      <c r="AF238" s="113">
        <f>IF(Valores!$C$13*B238&gt;Valores!$F$13,Valores!$F$13,Valores!$C$13*B238)</f>
        <v>14571.2</v>
      </c>
      <c r="AG238" s="113">
        <f>IF((Valores!$C$59/20*B238)&gt;Valores!$C$59,Valores!$C$59,Valores!$C$59/20*B238)</f>
        <v>7500</v>
      </c>
      <c r="AH238" s="113">
        <f t="shared" si="34"/>
        <v>22071.200000000001</v>
      </c>
      <c r="AI238" s="113">
        <f>AE238*Valores!$C$39</f>
        <v>-19036.793269999998</v>
      </c>
      <c r="AJ238" s="113">
        <f>IF(AE238&lt;Valores!$E$40,-0.02,IF(AE238&lt;Valores!$F$40,-0.03,-0.04))*AE238</f>
        <v>-3461.2351399999998</v>
      </c>
      <c r="AK238" s="113">
        <f>AE238*Valores!$C$42</f>
        <v>-9518.3966349999992</v>
      </c>
      <c r="AL238" s="113">
        <f>Valores!$C$56</f>
        <v>-1270.1600000000001</v>
      </c>
      <c r="AM238" s="113">
        <f>IF($F$5=0,Valores!$C$57,(Valores!$C$57+$F$5*(Valores!$C$57)))</f>
        <v>-7026</v>
      </c>
      <c r="AN238" s="113">
        <f t="shared" si="39"/>
        <v>154820.37195499998</v>
      </c>
      <c r="AO238" s="113">
        <f t="shared" si="33"/>
        <v>-19036.793269999998</v>
      </c>
      <c r="AP238" s="113">
        <f t="shared" si="40"/>
        <v>-3461.2351399999998</v>
      </c>
      <c r="AQ238" s="113">
        <f>AE238*Valores!$C$43</f>
        <v>-4672.6674389999998</v>
      </c>
      <c r="AR238" s="113">
        <f>AE238*Valores!$C$44</f>
        <v>-519.18527099999994</v>
      </c>
      <c r="AS238" s="113">
        <f t="shared" si="35"/>
        <v>167443.07587999999</v>
      </c>
      <c r="AT238" s="113">
        <f>AE238*Valores!$C$46</f>
        <v>27689.881119999998</v>
      </c>
      <c r="AU238" s="113">
        <f>AE238*Valores!$C$47</f>
        <v>12114.322990000001</v>
      </c>
      <c r="AV238" s="113">
        <f>AE238*Valores!$C$48</f>
        <v>1730.6175699999999</v>
      </c>
      <c r="AW238" s="113">
        <f>AE238*Valores!$C$50</f>
        <v>6057.1614950000003</v>
      </c>
      <c r="AX238" s="113">
        <f>AE238*Valores!$C$52</f>
        <v>9345.3348779999997</v>
      </c>
      <c r="AY238" s="113">
        <f>AE238*Valores!$C$51</f>
        <v>1038.3705419999999</v>
      </c>
      <c r="AZ238" s="114"/>
      <c r="BA238" s="114">
        <f t="shared" si="42"/>
        <v>6</v>
      </c>
      <c r="BB238" s="111" t="s">
        <v>4</v>
      </c>
    </row>
    <row r="239" spans="1:54" s="100" customFormat="1" ht="11.25" customHeight="1" x14ac:dyDescent="0.15">
      <c r="A239" s="111" t="s">
        <v>433</v>
      </c>
      <c r="B239" s="111">
        <v>7</v>
      </c>
      <c r="C239" s="114">
        <v>232</v>
      </c>
      <c r="D239" s="112" t="str">
        <f>CONCATENATE("Hora Cátedra Enseñanza Media ",B239," hs")</f>
        <v>Hora Cátedra Enseñanza Media 7 hs</v>
      </c>
      <c r="E239" s="169">
        <v>553</v>
      </c>
      <c r="F239" s="113">
        <f>ROUND(E239*Valores!$C$2,2)</f>
        <v>54086.720000000001</v>
      </c>
      <c r="G239" s="169">
        <v>0</v>
      </c>
      <c r="H239" s="113">
        <f>ROUND(G239*Valores!$C$2,2)</f>
        <v>0</v>
      </c>
      <c r="I239" s="169">
        <v>0</v>
      </c>
      <c r="J239" s="113">
        <f>ROUND(I239*Valores!$C$2,2)</f>
        <v>0</v>
      </c>
      <c r="K239" s="169">
        <v>0</v>
      </c>
      <c r="L239" s="113">
        <f>ROUND(K239*Valores!$C$2,2)</f>
        <v>0</v>
      </c>
      <c r="M239" s="113">
        <f>ROUND(IF($H$2=0,IF(AND(A239&lt;&gt;"13-930",A239&lt;&gt;"13-940"),(SUM(F239,H239,J239,L239,W239,S239,Q239)*Valores!$C$4),0),0),2)</f>
        <v>18404.5</v>
      </c>
      <c r="N239" s="113">
        <f t="shared" si="36"/>
        <v>0</v>
      </c>
      <c r="O239" s="113">
        <f>Valores!C$65*B239</f>
        <v>46559.59</v>
      </c>
      <c r="P239" s="113">
        <f>ROUND(IF((Valores!$E$5*B239)&lt;=Valores!$F$5,Valores!$E$5*B239,Valores!$F$5),2)</f>
        <v>23332.61</v>
      </c>
      <c r="Q239" s="113">
        <f>IF($F$4="NO",Valores!$C$28*B239,Valores!$C$28*B239/2)</f>
        <v>12229.279999999999</v>
      </c>
      <c r="R239" s="113">
        <f>Valores!$C$7*B239</f>
        <v>7301.9800000000005</v>
      </c>
      <c r="S239" s="113">
        <f t="shared" si="41"/>
        <v>7301.98</v>
      </c>
      <c r="T239" s="113">
        <v>0</v>
      </c>
      <c r="U239" s="113">
        <v>0</v>
      </c>
      <c r="V239" s="169">
        <v>0</v>
      </c>
      <c r="W239" s="113">
        <f>ROUND(V239*Valores!$C$2,2)</f>
        <v>0</v>
      </c>
      <c r="X239" s="113">
        <v>0</v>
      </c>
      <c r="Y239" s="188">
        <v>0</v>
      </c>
      <c r="Z239" s="113">
        <f t="shared" si="37"/>
        <v>0</v>
      </c>
      <c r="AA239" s="169">
        <v>0</v>
      </c>
      <c r="AB239" s="113">
        <f>ROUND(AA239*Valores!$C$2,2)</f>
        <v>0</v>
      </c>
      <c r="AC239" s="113">
        <f>ROUND(IF($F$4="NO",Valores!$C$33*B239,Valores!$C$33*B239/2),2)</f>
        <v>10909.63</v>
      </c>
      <c r="AD239" s="113">
        <f>SUM(F239,H239,J239,L239,M239,N239,O239,P239,Q239,S239,T239,U239,W239,X239,Z239,AB239,AC239)*Valores!$C$58</f>
        <v>17282.431</v>
      </c>
      <c r="AE239" s="113">
        <f t="shared" si="38"/>
        <v>190106.74100000001</v>
      </c>
      <c r="AF239" s="113">
        <f>IF(Valores!$C$13*B239&gt;Valores!$F$13,Valores!$F$13,Valores!$C$13*B239)</f>
        <v>16999.733333333334</v>
      </c>
      <c r="AG239" s="113">
        <f>IF((Valores!$C$59/20*B239)&gt;Valores!$C$59,Valores!$C$59,Valores!$C$59/20*B239)</f>
        <v>8750</v>
      </c>
      <c r="AH239" s="113">
        <f t="shared" si="34"/>
        <v>25749.733333333334</v>
      </c>
      <c r="AI239" s="113">
        <f>AE239*Valores!$C$39</f>
        <v>-20911.74151</v>
      </c>
      <c r="AJ239" s="113">
        <f>IF(AE239&lt;Valores!$E$40,-0.02,IF(AE239&lt;Valores!$F$40,-0.03,-0.04))*AE239</f>
        <v>-3802.1348200000002</v>
      </c>
      <c r="AK239" s="113">
        <f>AE239*Valores!$C$42</f>
        <v>-10455.870755</v>
      </c>
      <c r="AL239" s="113">
        <f>Valores!$C$56</f>
        <v>-1270.1600000000001</v>
      </c>
      <c r="AM239" s="113">
        <f>IF($F$5=0,Valores!$C$57,(Valores!$C$57+$F$5*(Valores!$C$57)))</f>
        <v>-7026</v>
      </c>
      <c r="AN239" s="113">
        <f t="shared" si="39"/>
        <v>172390.56724833333</v>
      </c>
      <c r="AO239" s="113">
        <f t="shared" si="33"/>
        <v>-20911.74151</v>
      </c>
      <c r="AP239" s="113">
        <f t="shared" si="40"/>
        <v>-3802.1348200000002</v>
      </c>
      <c r="AQ239" s="113">
        <f>AE239*Valores!$C$43</f>
        <v>-5132.8820070000002</v>
      </c>
      <c r="AR239" s="113">
        <f>AE239*Valores!$C$44</f>
        <v>-570.32022300000006</v>
      </c>
      <c r="AS239" s="113">
        <f t="shared" si="35"/>
        <v>185439.39577333335</v>
      </c>
      <c r="AT239" s="113">
        <f>AE239*Valores!$C$46</f>
        <v>30417.078560000002</v>
      </c>
      <c r="AU239" s="113">
        <f>AE239*Valores!$C$47</f>
        <v>13307.471870000001</v>
      </c>
      <c r="AV239" s="113">
        <f>AE239*Valores!$C$48</f>
        <v>1901.0674100000001</v>
      </c>
      <c r="AW239" s="113">
        <f>AE239*Valores!$C$50</f>
        <v>6653.7359350000006</v>
      </c>
      <c r="AX239" s="113">
        <f>AE239*Valores!$C$52</f>
        <v>10265.764014</v>
      </c>
      <c r="AY239" s="113">
        <f>AE239*Valores!$C$51</f>
        <v>1140.6404460000001</v>
      </c>
      <c r="AZ239" s="114"/>
      <c r="BA239" s="114">
        <f t="shared" si="42"/>
        <v>7</v>
      </c>
      <c r="BB239" s="111" t="s">
        <v>4</v>
      </c>
    </row>
    <row r="240" spans="1:54" s="100" customFormat="1" ht="11.25" customHeight="1" x14ac:dyDescent="0.15">
      <c r="A240" s="111" t="s">
        <v>433</v>
      </c>
      <c r="B240" s="111">
        <v>7</v>
      </c>
      <c r="C240" s="114">
        <v>233</v>
      </c>
      <c r="D240" s="112" t="str">
        <f>CONCATENATE("Hora Cátedra Enseñanza Media ",B240," hs Esc Esp")</f>
        <v>Hora Cátedra Enseñanza Media 7 hs Esc Esp</v>
      </c>
      <c r="E240" s="169">
        <v>553</v>
      </c>
      <c r="F240" s="113">
        <f>ROUND(E240*Valores!$C$2,2)</f>
        <v>54086.720000000001</v>
      </c>
      <c r="G240" s="169">
        <v>0</v>
      </c>
      <c r="H240" s="113">
        <f>ROUND(G240*Valores!$C$2,2)</f>
        <v>0</v>
      </c>
      <c r="I240" s="169">
        <v>0</v>
      </c>
      <c r="J240" s="113">
        <f>ROUND(I240*Valores!$C$2,2)</f>
        <v>0</v>
      </c>
      <c r="K240" s="169">
        <v>0</v>
      </c>
      <c r="L240" s="113">
        <f>ROUND(K240*Valores!$C$2,2)</f>
        <v>0</v>
      </c>
      <c r="M240" s="113">
        <f>ROUND(IF($H$2=0,IF(AND(A240&lt;&gt;"13-930",A240&lt;&gt;"13-940"),(SUM(F240,H240,J240,L240,W240,S240,Q240)*Valores!$C$4),0),0),2)</f>
        <v>18404.5</v>
      </c>
      <c r="N240" s="113">
        <f t="shared" si="36"/>
        <v>0</v>
      </c>
      <c r="O240" s="113">
        <f>Valores!C$65*B240</f>
        <v>46559.59</v>
      </c>
      <c r="P240" s="113">
        <f>ROUND(IF((Valores!$E$5*B240)&lt;=Valores!$F$5,Valores!$E$5*B240,Valores!$F$5),2)</f>
        <v>23332.61</v>
      </c>
      <c r="Q240" s="113">
        <f>IF($F$4="NO",Valores!$C$28*B240,Valores!$C$28*B240/2)</f>
        <v>12229.279999999999</v>
      </c>
      <c r="R240" s="113">
        <f>Valores!$C$7*B240</f>
        <v>7301.9800000000005</v>
      </c>
      <c r="S240" s="113">
        <f t="shared" si="41"/>
        <v>7301.98</v>
      </c>
      <c r="T240" s="113">
        <v>0</v>
      </c>
      <c r="U240" s="113">
        <v>0</v>
      </c>
      <c r="V240" s="169">
        <v>0</v>
      </c>
      <c r="W240" s="113">
        <f>ROUND(V240*Valores!$C$2,2)</f>
        <v>0</v>
      </c>
      <c r="X240" s="113">
        <v>0</v>
      </c>
      <c r="Y240" s="188">
        <v>0</v>
      </c>
      <c r="Z240" s="113">
        <f t="shared" si="37"/>
        <v>0</v>
      </c>
      <c r="AA240" s="169">
        <v>94</v>
      </c>
      <c r="AB240" s="113">
        <f>ROUND(AA240*Valores!$C$2,2)</f>
        <v>9193.76</v>
      </c>
      <c r="AC240" s="113">
        <f>ROUND(IF($F$4="NO",Valores!$C$33*B240,Valores!$C$33*B240/2),2)</f>
        <v>10909.63</v>
      </c>
      <c r="AD240" s="113">
        <f>SUM(F240,H240,J240,L240,M240,N240,O240,P240,Q240,S240,T240,U240,W240,X240,Z240,AB240,AC240)*Valores!$C$58</f>
        <v>18201.807000000001</v>
      </c>
      <c r="AE240" s="113">
        <f t="shared" si="38"/>
        <v>200219.87700000001</v>
      </c>
      <c r="AF240" s="113">
        <f>IF(Valores!$C$13*B240&gt;Valores!$F$13,Valores!$F$13,Valores!$C$13*B240)</f>
        <v>16999.733333333334</v>
      </c>
      <c r="AG240" s="113">
        <f>IF((Valores!$C$59/20*B240)&gt;Valores!$C$59,Valores!$C$59,Valores!$C$59/20*B240)</f>
        <v>8750</v>
      </c>
      <c r="AH240" s="113">
        <f t="shared" si="34"/>
        <v>25749.733333333334</v>
      </c>
      <c r="AI240" s="113">
        <f>AE240*Valores!$C$39</f>
        <v>-22024.186470000001</v>
      </c>
      <c r="AJ240" s="113">
        <f>IF(AE240&lt;Valores!$E$40,-0.02,IF(AE240&lt;Valores!$F$40,-0.03,-0.04))*AE240</f>
        <v>-4004.3975400000004</v>
      </c>
      <c r="AK240" s="113">
        <f>AE240*Valores!$C$42</f>
        <v>-11012.093235</v>
      </c>
      <c r="AL240" s="113">
        <f>Valores!$C$56</f>
        <v>-1270.1600000000001</v>
      </c>
      <c r="AM240" s="113">
        <f>IF($F$5=0,Valores!$C$57,(Valores!$C$57+$F$5*(Valores!$C$57)))</f>
        <v>-7026</v>
      </c>
      <c r="AN240" s="113">
        <f t="shared" si="39"/>
        <v>180632.77308833334</v>
      </c>
      <c r="AO240" s="113">
        <f t="shared" si="33"/>
        <v>-22024.186470000001</v>
      </c>
      <c r="AP240" s="113">
        <f t="shared" si="40"/>
        <v>-4004.3975400000004</v>
      </c>
      <c r="AQ240" s="113">
        <f>AE240*Valores!$C$43</f>
        <v>-5405.9366790000004</v>
      </c>
      <c r="AR240" s="113">
        <f>AE240*Valores!$C$44</f>
        <v>-600.65963099999999</v>
      </c>
      <c r="AS240" s="113">
        <f t="shared" si="35"/>
        <v>193934.43001333333</v>
      </c>
      <c r="AT240" s="113">
        <f>AE240*Valores!$C$46</f>
        <v>32035.180320000003</v>
      </c>
      <c r="AU240" s="113">
        <f>AE240*Valores!$C$47</f>
        <v>14015.391390000003</v>
      </c>
      <c r="AV240" s="113">
        <f>AE240*Valores!$C$48</f>
        <v>2002.1987700000002</v>
      </c>
      <c r="AW240" s="113">
        <f>AE240*Valores!$C$50</f>
        <v>7007.6956950000013</v>
      </c>
      <c r="AX240" s="113">
        <f>AE240*Valores!$C$52</f>
        <v>10811.873358000001</v>
      </c>
      <c r="AY240" s="113">
        <f>AE240*Valores!$C$51</f>
        <v>1201.319262</v>
      </c>
      <c r="AZ240" s="114"/>
      <c r="BA240" s="114">
        <f t="shared" si="42"/>
        <v>7</v>
      </c>
      <c r="BB240" s="111" t="s">
        <v>4</v>
      </c>
    </row>
    <row r="241" spans="1:54" s="100" customFormat="1" ht="11.25" customHeight="1" x14ac:dyDescent="0.15">
      <c r="A241" s="111" t="s">
        <v>433</v>
      </c>
      <c r="B241" s="111">
        <v>8</v>
      </c>
      <c r="C241" s="114">
        <v>234</v>
      </c>
      <c r="D241" s="112" t="str">
        <f>CONCATENATE("Hora Cátedra Enseñanza Media ",B241," hs")</f>
        <v>Hora Cátedra Enseñanza Media 8 hs</v>
      </c>
      <c r="E241" s="169">
        <v>632</v>
      </c>
      <c r="F241" s="113">
        <f>ROUND(E241*Valores!$C$2,2)</f>
        <v>61813.39</v>
      </c>
      <c r="G241" s="169">
        <v>0</v>
      </c>
      <c r="H241" s="113">
        <f>ROUND(G241*Valores!$C$2,2)</f>
        <v>0</v>
      </c>
      <c r="I241" s="169">
        <v>0</v>
      </c>
      <c r="J241" s="113">
        <f>ROUND(I241*Valores!$C$2,2)</f>
        <v>0</v>
      </c>
      <c r="K241" s="169">
        <v>0</v>
      </c>
      <c r="L241" s="113">
        <f>ROUND(K241*Valores!$C$2,2)</f>
        <v>0</v>
      </c>
      <c r="M241" s="113">
        <f>ROUND(IF($H$2=0,IF(AND(A241&lt;&gt;"13-930",A241&lt;&gt;"13-940"),(SUM(F241,H241,J241,L241,W241,S241,Q241)*Valores!$C$4),0),0),2)</f>
        <v>21033.71</v>
      </c>
      <c r="N241" s="113">
        <f t="shared" si="36"/>
        <v>0</v>
      </c>
      <c r="O241" s="113">
        <f>Valores!C$65*B241</f>
        <v>53210.96</v>
      </c>
      <c r="P241" s="113">
        <f>ROUND(IF((Valores!$E$5*B241)&lt;=Valores!$F$5,Valores!$E$5*B241,Valores!$F$5),2)</f>
        <v>26665.84</v>
      </c>
      <c r="Q241" s="113">
        <f>IF($F$4="NO",Valores!$C$28*B241,Valores!$C$28*B241/2)</f>
        <v>13976.32</v>
      </c>
      <c r="R241" s="113">
        <f>Valores!$C$7*B241</f>
        <v>8345.1200000000008</v>
      </c>
      <c r="S241" s="113">
        <f t="shared" si="41"/>
        <v>8345.1200000000008</v>
      </c>
      <c r="T241" s="113">
        <v>0</v>
      </c>
      <c r="U241" s="113">
        <v>0</v>
      </c>
      <c r="V241" s="169">
        <v>0</v>
      </c>
      <c r="W241" s="113">
        <f>ROUND(V241*Valores!$C$2,2)</f>
        <v>0</v>
      </c>
      <c r="X241" s="113">
        <v>0</v>
      </c>
      <c r="Y241" s="188">
        <v>0</v>
      </c>
      <c r="Z241" s="113">
        <f t="shared" si="37"/>
        <v>0</v>
      </c>
      <c r="AA241" s="169">
        <v>0</v>
      </c>
      <c r="AB241" s="113">
        <f>ROUND(AA241*Valores!$C$2,2)</f>
        <v>0</v>
      </c>
      <c r="AC241" s="113">
        <f>ROUND(IF($F$4="NO",Valores!$C$33*B241,Valores!$C$33*B241/2),2)</f>
        <v>12468.14</v>
      </c>
      <c r="AD241" s="113">
        <f>SUM(F241,H241,J241,L241,M241,N241,O241,P241,Q241,S241,T241,U241,W241,X241,Z241,AB241,AC241)*Valores!$C$58</f>
        <v>19751.347999999998</v>
      </c>
      <c r="AE241" s="113">
        <f t="shared" si="38"/>
        <v>217264.82799999998</v>
      </c>
      <c r="AF241" s="113">
        <f>IF(Valores!$C$13*B241&gt;Valores!$F$13,Valores!$F$13,Valores!$C$13*B241)</f>
        <v>19428.266666666666</v>
      </c>
      <c r="AG241" s="113">
        <f>IF((Valores!$C$59/20*B241)&gt;Valores!$C$59,Valores!$C$59,Valores!$C$59/20*B241)</f>
        <v>10000</v>
      </c>
      <c r="AH241" s="113">
        <f t="shared" si="34"/>
        <v>29428.266666666666</v>
      </c>
      <c r="AI241" s="113">
        <f>AE241*Valores!$C$39</f>
        <v>-23899.131079999999</v>
      </c>
      <c r="AJ241" s="113">
        <f>IF(AE241&lt;Valores!$E$40,-0.02,IF(AE241&lt;Valores!$F$40,-0.03,-0.04))*AE241</f>
        <v>-4345.2965599999998</v>
      </c>
      <c r="AK241" s="113">
        <f>AE241*Valores!$C$42</f>
        <v>-11949.56554</v>
      </c>
      <c r="AL241" s="113">
        <f>Valores!$C$56</f>
        <v>-1270.1600000000001</v>
      </c>
      <c r="AM241" s="113">
        <f>IF($F$5=0,Valores!$C$57,(Valores!$C$57+$F$5*(Valores!$C$57)))</f>
        <v>-7026</v>
      </c>
      <c r="AN241" s="113">
        <f t="shared" si="39"/>
        <v>198202.94148666665</v>
      </c>
      <c r="AO241" s="113">
        <f t="shared" si="33"/>
        <v>-23899.131079999999</v>
      </c>
      <c r="AP241" s="113">
        <f t="shared" si="40"/>
        <v>-4345.2965599999998</v>
      </c>
      <c r="AQ241" s="113">
        <f>AE241*Valores!$C$43</f>
        <v>-5866.1503559999992</v>
      </c>
      <c r="AR241" s="113">
        <f>AE241*Valores!$C$44</f>
        <v>-651.7944839999999</v>
      </c>
      <c r="AS241" s="113">
        <f t="shared" si="35"/>
        <v>211930.72218666665</v>
      </c>
      <c r="AT241" s="113">
        <f>AE241*Valores!$C$46</f>
        <v>34762.372479999998</v>
      </c>
      <c r="AU241" s="113">
        <f>AE241*Valores!$C$47</f>
        <v>15208.53796</v>
      </c>
      <c r="AV241" s="113">
        <f>AE241*Valores!$C$48</f>
        <v>2172.6482799999999</v>
      </c>
      <c r="AW241" s="113">
        <f>AE241*Valores!$C$50</f>
        <v>7604.2689799999998</v>
      </c>
      <c r="AX241" s="113">
        <f>AE241*Valores!$C$52</f>
        <v>11732.300711999998</v>
      </c>
      <c r="AY241" s="113">
        <f>AE241*Valores!$C$51</f>
        <v>1303.5889679999998</v>
      </c>
      <c r="AZ241" s="114"/>
      <c r="BA241" s="114">
        <f t="shared" si="42"/>
        <v>8</v>
      </c>
      <c r="BB241" s="111" t="s">
        <v>4</v>
      </c>
    </row>
    <row r="242" spans="1:54" s="100" customFormat="1" ht="11.25" customHeight="1" x14ac:dyDescent="0.15">
      <c r="A242" s="111" t="s">
        <v>433</v>
      </c>
      <c r="B242" s="111">
        <v>8</v>
      </c>
      <c r="C242" s="114">
        <v>235</v>
      </c>
      <c r="D242" s="112" t="str">
        <f>CONCATENATE("Hora Cátedra Enseñanza Media ",B242," hs Esc Esp")</f>
        <v>Hora Cátedra Enseñanza Media 8 hs Esc Esp</v>
      </c>
      <c r="E242" s="169">
        <v>632</v>
      </c>
      <c r="F242" s="113">
        <f>ROUND(E242*Valores!$C$2,2)</f>
        <v>61813.39</v>
      </c>
      <c r="G242" s="169">
        <v>0</v>
      </c>
      <c r="H242" s="113">
        <f>ROUND(G242*Valores!$C$2,2)</f>
        <v>0</v>
      </c>
      <c r="I242" s="169">
        <v>0</v>
      </c>
      <c r="J242" s="113">
        <f>ROUND(I242*Valores!$C$2,2)</f>
        <v>0</v>
      </c>
      <c r="K242" s="169">
        <v>0</v>
      </c>
      <c r="L242" s="113">
        <f>ROUND(K242*Valores!$C$2,2)</f>
        <v>0</v>
      </c>
      <c r="M242" s="113">
        <f>ROUND(IF($H$2=0,IF(AND(A242&lt;&gt;"13-930",A242&lt;&gt;"13-940"),(SUM(F242,H242,J242,L242,W242,S242,Q242)*Valores!$C$4),0),0),2)</f>
        <v>21033.71</v>
      </c>
      <c r="N242" s="113">
        <f t="shared" si="36"/>
        <v>0</v>
      </c>
      <c r="O242" s="113">
        <f>Valores!C$65*B242</f>
        <v>53210.96</v>
      </c>
      <c r="P242" s="113">
        <f>ROUND(IF((Valores!$E$5*B242)&lt;=Valores!$F$5,Valores!$E$5*B242,Valores!$F$5),2)</f>
        <v>26665.84</v>
      </c>
      <c r="Q242" s="113">
        <f>IF($F$4="NO",Valores!$C$28*B242,Valores!$C$28*B242/2)</f>
        <v>13976.32</v>
      </c>
      <c r="R242" s="113">
        <f>Valores!$C$7*B242</f>
        <v>8345.1200000000008</v>
      </c>
      <c r="S242" s="113">
        <f t="shared" si="41"/>
        <v>8345.1200000000008</v>
      </c>
      <c r="T242" s="113">
        <v>0</v>
      </c>
      <c r="U242" s="113">
        <v>0</v>
      </c>
      <c r="V242" s="169">
        <v>0</v>
      </c>
      <c r="W242" s="113">
        <f>ROUND(V242*Valores!$C$2,2)</f>
        <v>0</v>
      </c>
      <c r="X242" s="113">
        <v>0</v>
      </c>
      <c r="Y242" s="188">
        <v>0</v>
      </c>
      <c r="Z242" s="113">
        <f t="shared" si="37"/>
        <v>0</v>
      </c>
      <c r="AA242" s="169">
        <v>94</v>
      </c>
      <c r="AB242" s="113">
        <f>ROUND(AA242*Valores!$C$2,2)</f>
        <v>9193.76</v>
      </c>
      <c r="AC242" s="113">
        <f>ROUND(IF($F$4="NO",Valores!$C$33*B242,Valores!$C$33*B242/2),2)</f>
        <v>12468.14</v>
      </c>
      <c r="AD242" s="113">
        <f>SUM(F242,H242,J242,L242,M242,N242,O242,P242,Q242,S242,T242,U242,W242,X242,Z242,AB242,AC242)*Valores!$C$58</f>
        <v>20670.724000000002</v>
      </c>
      <c r="AE242" s="113">
        <f t="shared" si="38"/>
        <v>227377.96399999998</v>
      </c>
      <c r="AF242" s="113">
        <f>IF(Valores!$C$13*B242&gt;Valores!$F$13,Valores!$F$13,Valores!$C$13*B242)</f>
        <v>19428.266666666666</v>
      </c>
      <c r="AG242" s="113">
        <f>IF((Valores!$C$59/20*B242)&gt;Valores!$C$59,Valores!$C$59,Valores!$C$59/20*B242)</f>
        <v>10000</v>
      </c>
      <c r="AH242" s="113">
        <f t="shared" si="34"/>
        <v>29428.266666666666</v>
      </c>
      <c r="AI242" s="113">
        <f>AE242*Valores!$C$39</f>
        <v>-25011.576039999996</v>
      </c>
      <c r="AJ242" s="113">
        <f>IF(AE242&lt;Valores!$E$40,-0.02,IF(AE242&lt;Valores!$F$40,-0.03,-0.04))*AE242</f>
        <v>-4547.5592799999995</v>
      </c>
      <c r="AK242" s="113">
        <f>AE242*Valores!$C$42</f>
        <v>-12505.788019999998</v>
      </c>
      <c r="AL242" s="113">
        <f>Valores!$C$56</f>
        <v>-1270.1600000000001</v>
      </c>
      <c r="AM242" s="113">
        <f>IF($F$5=0,Valores!$C$57,(Valores!$C$57+$F$5*(Valores!$C$57)))</f>
        <v>-7026</v>
      </c>
      <c r="AN242" s="113">
        <f t="shared" si="39"/>
        <v>206445.14732666666</v>
      </c>
      <c r="AO242" s="113">
        <f t="shared" si="33"/>
        <v>-25011.576039999996</v>
      </c>
      <c r="AP242" s="113">
        <f t="shared" si="40"/>
        <v>-4547.5592799999995</v>
      </c>
      <c r="AQ242" s="113">
        <f>AE242*Valores!$C$43</f>
        <v>-6139.2050279999994</v>
      </c>
      <c r="AR242" s="113">
        <f>AE242*Valores!$C$44</f>
        <v>-682.13389199999995</v>
      </c>
      <c r="AS242" s="113">
        <f t="shared" si="35"/>
        <v>220425.75642666666</v>
      </c>
      <c r="AT242" s="113">
        <f>AE242*Valores!$C$46</f>
        <v>36380.474239999996</v>
      </c>
      <c r="AU242" s="113">
        <f>AE242*Valores!$C$47</f>
        <v>15916.457479999999</v>
      </c>
      <c r="AV242" s="113">
        <f>AE242*Valores!$C$48</f>
        <v>2273.7796399999997</v>
      </c>
      <c r="AW242" s="113">
        <f>AE242*Valores!$C$50</f>
        <v>7958.2287399999996</v>
      </c>
      <c r="AX242" s="113">
        <f>AE242*Valores!$C$52</f>
        <v>12278.410055999999</v>
      </c>
      <c r="AY242" s="113">
        <f>AE242*Valores!$C$51</f>
        <v>1364.2677839999999</v>
      </c>
      <c r="AZ242" s="114"/>
      <c r="BA242" s="114">
        <f t="shared" si="42"/>
        <v>8</v>
      </c>
      <c r="BB242" s="111" t="s">
        <v>4</v>
      </c>
    </row>
    <row r="243" spans="1:54" s="100" customFormat="1" ht="11.25" customHeight="1" x14ac:dyDescent="0.15">
      <c r="A243" s="111" t="s">
        <v>433</v>
      </c>
      <c r="B243" s="111">
        <v>9</v>
      </c>
      <c r="C243" s="114">
        <v>236</v>
      </c>
      <c r="D243" s="112" t="str">
        <f>CONCATENATE("Hora Cátedra Enseñanza Media ",B243," hs")</f>
        <v>Hora Cátedra Enseñanza Media 9 hs</v>
      </c>
      <c r="E243" s="169">
        <v>711</v>
      </c>
      <c r="F243" s="113">
        <f>ROUND(E243*Valores!$C$2,2)</f>
        <v>69540.070000000007</v>
      </c>
      <c r="G243" s="169">
        <v>0</v>
      </c>
      <c r="H243" s="113">
        <f>ROUND(G243*Valores!$C$2,2)</f>
        <v>0</v>
      </c>
      <c r="I243" s="169">
        <v>0</v>
      </c>
      <c r="J243" s="113">
        <f>ROUND(I243*Valores!$C$2,2)</f>
        <v>0</v>
      </c>
      <c r="K243" s="169">
        <v>0</v>
      </c>
      <c r="L243" s="113">
        <f>ROUND(K243*Valores!$C$2,2)</f>
        <v>0</v>
      </c>
      <c r="M243" s="113">
        <f>ROUND(IF($H$2=0,IF(AND(A243&lt;&gt;"13-930",A243&lt;&gt;"13-940"),(SUM(F243,H243,J243,L243,W243,S243,Q243)*Valores!$C$4),0),0),2)</f>
        <v>23662.92</v>
      </c>
      <c r="N243" s="113">
        <f t="shared" si="36"/>
        <v>0</v>
      </c>
      <c r="O243" s="113">
        <f>Valores!C$65*B243</f>
        <v>59862.33</v>
      </c>
      <c r="P243" s="113">
        <f>ROUND(IF((Valores!$E$5*B243)&lt;=Valores!$F$5,Valores!$E$5*B243,Valores!$F$5),2)</f>
        <v>29999.07</v>
      </c>
      <c r="Q243" s="113">
        <f>IF($F$4="NO",Valores!$C$28*B243,Valores!$C$28*B243/2)</f>
        <v>15723.36</v>
      </c>
      <c r="R243" s="113">
        <f>Valores!$C$7*B243</f>
        <v>9388.26</v>
      </c>
      <c r="S243" s="113">
        <f t="shared" si="41"/>
        <v>9388.26</v>
      </c>
      <c r="T243" s="113">
        <v>0</v>
      </c>
      <c r="U243" s="113">
        <v>0</v>
      </c>
      <c r="V243" s="169">
        <v>0</v>
      </c>
      <c r="W243" s="113">
        <f>ROUND(V243*Valores!$C$2,2)</f>
        <v>0</v>
      </c>
      <c r="X243" s="113">
        <v>0</v>
      </c>
      <c r="Y243" s="188">
        <v>0</v>
      </c>
      <c r="Z243" s="113">
        <f t="shared" si="37"/>
        <v>0</v>
      </c>
      <c r="AA243" s="169">
        <v>0</v>
      </c>
      <c r="AB243" s="113">
        <f>ROUND(AA243*Valores!$C$2,2)</f>
        <v>0</v>
      </c>
      <c r="AC243" s="113">
        <f>ROUND(IF($F$4="NO",Valores!$C$33*B243,Valores!$C$33*B243/2),2)</f>
        <v>14026.66</v>
      </c>
      <c r="AD243" s="113">
        <f>SUM(F243,H243,J243,L243,M243,N243,O243,P243,Q243,S243,T243,U243,W243,X243,Z243,AB243,AC243)*Valores!$C$58</f>
        <v>22220.267000000003</v>
      </c>
      <c r="AE243" s="113">
        <f t="shared" si="38"/>
        <v>244422.93700000001</v>
      </c>
      <c r="AF243" s="113">
        <f>IF(Valores!$C$13*B243&gt;Valores!$F$13,Valores!$F$13,Valores!$C$13*B243)</f>
        <v>21856.799999999999</v>
      </c>
      <c r="AG243" s="113">
        <f>IF((Valores!$C$59/20*B243)&gt;Valores!$C$59,Valores!$C$59,Valores!$C$59/20*B243)</f>
        <v>11250</v>
      </c>
      <c r="AH243" s="113">
        <f t="shared" si="34"/>
        <v>33106.800000000003</v>
      </c>
      <c r="AI243" s="113">
        <f>AE243*Valores!$C$39</f>
        <v>-26886.523069999999</v>
      </c>
      <c r="AJ243" s="113">
        <f>IF(AE243&lt;Valores!$E$40,-0.02,IF(AE243&lt;Valores!$F$40,-0.03,-0.04))*AE243</f>
        <v>-4888.45874</v>
      </c>
      <c r="AK243" s="113">
        <f>AE243*Valores!$C$42</f>
        <v>-13443.261535</v>
      </c>
      <c r="AL243" s="113">
        <f>Valores!$C$56</f>
        <v>-1270.1600000000001</v>
      </c>
      <c r="AM243" s="113">
        <f>IF($F$5=0,Valores!$C$57,(Valores!$C$57+$F$5*(Valores!$C$57)))</f>
        <v>-7026</v>
      </c>
      <c r="AN243" s="113">
        <f t="shared" si="39"/>
        <v>224015.33365500002</v>
      </c>
      <c r="AO243" s="113">
        <f t="shared" si="33"/>
        <v>-26886.523069999999</v>
      </c>
      <c r="AP243" s="113">
        <f t="shared" si="40"/>
        <v>-4888.45874</v>
      </c>
      <c r="AQ243" s="113">
        <f>AE243*Valores!$C$43</f>
        <v>-6599.4192990000001</v>
      </c>
      <c r="AR243" s="113">
        <f>AE243*Valores!$C$44</f>
        <v>-733.26881100000003</v>
      </c>
      <c r="AS243" s="113">
        <f t="shared" si="35"/>
        <v>238422.06708000001</v>
      </c>
      <c r="AT243" s="113">
        <f>AE243*Valores!$C$46</f>
        <v>39107.66992</v>
      </c>
      <c r="AU243" s="113">
        <f>AE243*Valores!$C$47</f>
        <v>17109.605590000003</v>
      </c>
      <c r="AV243" s="113">
        <f>AE243*Valores!$C$48</f>
        <v>2444.22937</v>
      </c>
      <c r="AW243" s="113">
        <f>AE243*Valores!$C$50</f>
        <v>8554.8027950000014</v>
      </c>
      <c r="AX243" s="113">
        <f>AE243*Valores!$C$52</f>
        <v>13198.838598</v>
      </c>
      <c r="AY243" s="113">
        <f>AE243*Valores!$C$51</f>
        <v>1466.5376220000001</v>
      </c>
      <c r="AZ243" s="114"/>
      <c r="BA243" s="114">
        <f t="shared" si="42"/>
        <v>9</v>
      </c>
      <c r="BB243" s="111" t="s">
        <v>4</v>
      </c>
    </row>
    <row r="244" spans="1:54" s="100" customFormat="1" ht="11.25" customHeight="1" x14ac:dyDescent="0.15">
      <c r="A244" s="111" t="s">
        <v>433</v>
      </c>
      <c r="B244" s="111">
        <v>9</v>
      </c>
      <c r="C244" s="114">
        <v>237</v>
      </c>
      <c r="D244" s="112" t="str">
        <f>CONCATENATE("Hora Cátedra Enseñanza Media ",B244," hs Esc Esp")</f>
        <v>Hora Cátedra Enseñanza Media 9 hs Esc Esp</v>
      </c>
      <c r="E244" s="169">
        <v>711</v>
      </c>
      <c r="F244" s="113">
        <f>ROUND(E244*Valores!$C$2,2)</f>
        <v>69540.070000000007</v>
      </c>
      <c r="G244" s="169">
        <v>0</v>
      </c>
      <c r="H244" s="113">
        <f>ROUND(G244*Valores!$C$2,2)</f>
        <v>0</v>
      </c>
      <c r="I244" s="169">
        <v>0</v>
      </c>
      <c r="J244" s="113">
        <f>ROUND(I244*Valores!$C$2,2)</f>
        <v>0</v>
      </c>
      <c r="K244" s="169">
        <v>0</v>
      </c>
      <c r="L244" s="113">
        <f>ROUND(K244*Valores!$C$2,2)</f>
        <v>0</v>
      </c>
      <c r="M244" s="113">
        <f>ROUND(IF($H$2=0,IF(AND(A244&lt;&gt;"13-930",A244&lt;&gt;"13-940"),(SUM(F244,H244,J244,L244,W244,S244,Q244)*Valores!$C$4),0),0),2)</f>
        <v>23662.92</v>
      </c>
      <c r="N244" s="113">
        <f t="shared" si="36"/>
        <v>0</v>
      </c>
      <c r="O244" s="113">
        <f>Valores!C$65*B244</f>
        <v>59862.33</v>
      </c>
      <c r="P244" s="113">
        <f>ROUND(IF((Valores!$E$5*B244)&lt;=Valores!$F$5,Valores!$E$5*B244,Valores!$F$5),2)</f>
        <v>29999.07</v>
      </c>
      <c r="Q244" s="113">
        <f>IF($F$4="NO",Valores!$C$28*B244,Valores!$C$28*B244/2)</f>
        <v>15723.36</v>
      </c>
      <c r="R244" s="113">
        <f>Valores!$C$7*B244</f>
        <v>9388.26</v>
      </c>
      <c r="S244" s="113">
        <f t="shared" si="41"/>
        <v>9388.26</v>
      </c>
      <c r="T244" s="113">
        <v>0</v>
      </c>
      <c r="U244" s="113">
        <v>0</v>
      </c>
      <c r="V244" s="169">
        <v>0</v>
      </c>
      <c r="W244" s="113">
        <f>ROUND(V244*Valores!$C$2,2)</f>
        <v>0</v>
      </c>
      <c r="X244" s="113">
        <v>0</v>
      </c>
      <c r="Y244" s="188">
        <v>0</v>
      </c>
      <c r="Z244" s="113">
        <f t="shared" si="37"/>
        <v>0</v>
      </c>
      <c r="AA244" s="169">
        <v>94</v>
      </c>
      <c r="AB244" s="113">
        <f>ROUND(AA244*Valores!$C$2,2)</f>
        <v>9193.76</v>
      </c>
      <c r="AC244" s="113">
        <f>ROUND(IF($F$4="NO",Valores!$C$33*B244,Valores!$C$33*B244/2),2)</f>
        <v>14026.66</v>
      </c>
      <c r="AD244" s="113">
        <f>SUM(F244,H244,J244,L244,M244,N244,O244,P244,Q244,S244,T244,U244,W244,X244,Z244,AB244,AC244)*Valores!$C$58</f>
        <v>23139.643000000004</v>
      </c>
      <c r="AE244" s="113">
        <f t="shared" si="38"/>
        <v>254536.07300000003</v>
      </c>
      <c r="AF244" s="113">
        <f>IF(Valores!$C$13*B244&gt;Valores!$F$13,Valores!$F$13,Valores!$C$13*B244)</f>
        <v>21856.799999999999</v>
      </c>
      <c r="AG244" s="113">
        <f>IF((Valores!$C$59/20*B244)&gt;Valores!$C$59,Valores!$C$59,Valores!$C$59/20*B244)</f>
        <v>11250</v>
      </c>
      <c r="AH244" s="113">
        <f t="shared" si="34"/>
        <v>33106.800000000003</v>
      </c>
      <c r="AI244" s="113">
        <f>AE244*Valores!$C$39</f>
        <v>-27998.968030000004</v>
      </c>
      <c r="AJ244" s="113">
        <f>IF(AE244&lt;Valores!$E$40,-0.02,IF(AE244&lt;Valores!$F$40,-0.03,-0.04))*AE244</f>
        <v>-5090.7214600000007</v>
      </c>
      <c r="AK244" s="113">
        <f>AE244*Valores!$C$42</f>
        <v>-13999.484015000002</v>
      </c>
      <c r="AL244" s="113">
        <f>Valores!$C$56</f>
        <v>-1270.1600000000001</v>
      </c>
      <c r="AM244" s="113">
        <f>IF($F$5=0,Valores!$C$57,(Valores!$C$57+$F$5*(Valores!$C$57)))</f>
        <v>-7026</v>
      </c>
      <c r="AN244" s="113">
        <f t="shared" si="39"/>
        <v>232257.53949500003</v>
      </c>
      <c r="AO244" s="113">
        <f t="shared" si="33"/>
        <v>-27998.968030000004</v>
      </c>
      <c r="AP244" s="113">
        <f t="shared" si="40"/>
        <v>-5090.7214600000007</v>
      </c>
      <c r="AQ244" s="113">
        <f>AE244*Valores!$C$43</f>
        <v>-6872.4739710000013</v>
      </c>
      <c r="AR244" s="113">
        <f>AE244*Valores!$C$44</f>
        <v>-763.60821900000008</v>
      </c>
      <c r="AS244" s="113">
        <f t="shared" si="35"/>
        <v>246917.10132000002</v>
      </c>
      <c r="AT244" s="113">
        <f>AE244*Valores!$C$46</f>
        <v>40725.771680000005</v>
      </c>
      <c r="AU244" s="113">
        <f>AE244*Valores!$C$47</f>
        <v>17817.525110000002</v>
      </c>
      <c r="AV244" s="113">
        <f>AE244*Valores!$C$48</f>
        <v>2545.3607300000003</v>
      </c>
      <c r="AW244" s="113">
        <f>AE244*Valores!$C$50</f>
        <v>8908.7625550000012</v>
      </c>
      <c r="AX244" s="113">
        <f>AE244*Valores!$C$52</f>
        <v>13744.947942000003</v>
      </c>
      <c r="AY244" s="113">
        <f>AE244*Valores!$C$51</f>
        <v>1527.2164380000002</v>
      </c>
      <c r="AZ244" s="114"/>
      <c r="BA244" s="114">
        <f t="shared" si="42"/>
        <v>9</v>
      </c>
      <c r="BB244" s="111" t="s">
        <v>4</v>
      </c>
    </row>
    <row r="245" spans="1:54" s="100" customFormat="1" ht="11.25" customHeight="1" x14ac:dyDescent="0.15">
      <c r="A245" s="111" t="s">
        <v>433</v>
      </c>
      <c r="B245" s="111">
        <v>10</v>
      </c>
      <c r="C245" s="114">
        <v>238</v>
      </c>
      <c r="D245" s="112" t="str">
        <f>CONCATENATE("Hora Cátedra Enseñanza Media ",B245," hs")</f>
        <v>Hora Cátedra Enseñanza Media 10 hs</v>
      </c>
      <c r="E245" s="169">
        <v>790</v>
      </c>
      <c r="F245" s="113">
        <f>ROUND(E245*Valores!$C$2,2)</f>
        <v>77266.740000000005</v>
      </c>
      <c r="G245" s="169">
        <v>0</v>
      </c>
      <c r="H245" s="113">
        <f>ROUND(G245*Valores!$C$2,2)</f>
        <v>0</v>
      </c>
      <c r="I245" s="169">
        <v>0</v>
      </c>
      <c r="J245" s="113">
        <f>ROUND(I245*Valores!$C$2,2)</f>
        <v>0</v>
      </c>
      <c r="K245" s="169">
        <v>0</v>
      </c>
      <c r="L245" s="113">
        <f>ROUND(K245*Valores!$C$2,2)</f>
        <v>0</v>
      </c>
      <c r="M245" s="113">
        <f>ROUND(IF($H$2=0,IF(AND(A245&lt;&gt;"13-930",A245&lt;&gt;"13-940"),(SUM(F245,H245,J245,L245,W245,S245,Q245)*Valores!$C$4),0),0),2)</f>
        <v>26292.14</v>
      </c>
      <c r="N245" s="113">
        <f t="shared" si="36"/>
        <v>0</v>
      </c>
      <c r="O245" s="113">
        <f>Valores!C$65*B245</f>
        <v>66513.7</v>
      </c>
      <c r="P245" s="113">
        <f>ROUND(IF((Valores!$E$5*B245)&lt;=Valores!$F$5,Valores!$E$5*B245,Valores!$F$5),2)</f>
        <v>33332.300000000003</v>
      </c>
      <c r="Q245" s="113">
        <f>IF($F$4="NO",Valores!$C$28*B245,Valores!$C$28*B245/2)</f>
        <v>17470.400000000001</v>
      </c>
      <c r="R245" s="113">
        <f>Valores!$C$7*B245</f>
        <v>10431.400000000001</v>
      </c>
      <c r="S245" s="113">
        <f t="shared" si="41"/>
        <v>10431.4</v>
      </c>
      <c r="T245" s="113">
        <v>0</v>
      </c>
      <c r="U245" s="113">
        <v>0</v>
      </c>
      <c r="V245" s="169">
        <v>0</v>
      </c>
      <c r="W245" s="113">
        <f>ROUND(V245*Valores!$C$2,2)</f>
        <v>0</v>
      </c>
      <c r="X245" s="113">
        <v>0</v>
      </c>
      <c r="Y245" s="188">
        <v>0</v>
      </c>
      <c r="Z245" s="113">
        <f t="shared" si="37"/>
        <v>0</v>
      </c>
      <c r="AA245" s="169">
        <v>0</v>
      </c>
      <c r="AB245" s="113">
        <f>ROUND(AA245*Valores!$C$2,2)</f>
        <v>0</v>
      </c>
      <c r="AC245" s="113">
        <f>ROUND(IF($F$4="NO",Valores!$C$33*B245,Valores!$C$33*B245/2),2)</f>
        <v>15585.18</v>
      </c>
      <c r="AD245" s="113">
        <f>SUM(F245,H245,J245,L245,M245,N245,O245,P245,Q245,S245,T245,U245,W245,X245,Z245,AB245,AC245)*Valores!$C$58</f>
        <v>24689.186000000002</v>
      </c>
      <c r="AE245" s="113">
        <f t="shared" si="38"/>
        <v>271581.04599999997</v>
      </c>
      <c r="AF245" s="113">
        <f>IF(Valores!$C$13*B245&gt;Valores!$F$13,Valores!$F$13,Valores!$C$13*B245)</f>
        <v>24285.333333333332</v>
      </c>
      <c r="AG245" s="113">
        <f>IF((Valores!$C$59/20*B245)&gt;Valores!$C$59,Valores!$C$59,Valores!$C$59/20*B245)</f>
        <v>12500</v>
      </c>
      <c r="AH245" s="113">
        <f t="shared" si="34"/>
        <v>36785.333333333328</v>
      </c>
      <c r="AI245" s="113">
        <f>AE245*Valores!$C$39</f>
        <v>-29873.915059999996</v>
      </c>
      <c r="AJ245" s="113">
        <f>IF(AE245&lt;Valores!$E$40,-0.02,IF(AE245&lt;Valores!$F$40,-0.03,-0.04))*AE245</f>
        <v>-5431.6209199999994</v>
      </c>
      <c r="AK245" s="113">
        <f>AE245*Valores!$C$42</f>
        <v>-14936.957529999998</v>
      </c>
      <c r="AL245" s="113">
        <f>Valores!$C$56</f>
        <v>-1270.1600000000001</v>
      </c>
      <c r="AM245" s="113">
        <f>IF($F$5=0,Valores!$C$57,(Valores!$C$57+$F$5*(Valores!$C$57)))</f>
        <v>-7026</v>
      </c>
      <c r="AN245" s="113">
        <f t="shared" si="39"/>
        <v>249827.72582333331</v>
      </c>
      <c r="AO245" s="113">
        <f t="shared" si="33"/>
        <v>-29873.915059999996</v>
      </c>
      <c r="AP245" s="113">
        <f t="shared" si="40"/>
        <v>-5431.6209199999994</v>
      </c>
      <c r="AQ245" s="113">
        <f>AE245*Valores!$C$43</f>
        <v>-7332.6882419999993</v>
      </c>
      <c r="AR245" s="113">
        <f>AE245*Valores!$C$44</f>
        <v>-814.74313799999993</v>
      </c>
      <c r="AS245" s="113">
        <f t="shared" si="35"/>
        <v>264913.41197333328</v>
      </c>
      <c r="AT245" s="113">
        <f>AE245*Valores!$C$46</f>
        <v>43452.967359999995</v>
      </c>
      <c r="AU245" s="113">
        <f>AE245*Valores!$C$47</f>
        <v>19010.673220000001</v>
      </c>
      <c r="AV245" s="113">
        <f>AE245*Valores!$C$48</f>
        <v>2715.8104599999997</v>
      </c>
      <c r="AW245" s="113">
        <f>AE245*Valores!$C$50</f>
        <v>9505.3366100000003</v>
      </c>
      <c r="AX245" s="113">
        <f>AE245*Valores!$C$52</f>
        <v>14665.376483999999</v>
      </c>
      <c r="AY245" s="113">
        <f>AE245*Valores!$C$51</f>
        <v>1629.4862759999999</v>
      </c>
      <c r="AZ245" s="114"/>
      <c r="BA245" s="114">
        <f t="shared" si="42"/>
        <v>10</v>
      </c>
      <c r="BB245" s="111" t="s">
        <v>4</v>
      </c>
    </row>
    <row r="246" spans="1:54" s="100" customFormat="1" ht="11.25" customHeight="1" x14ac:dyDescent="0.15">
      <c r="A246" s="111" t="s">
        <v>433</v>
      </c>
      <c r="B246" s="111">
        <v>10</v>
      </c>
      <c r="C246" s="114">
        <v>239</v>
      </c>
      <c r="D246" s="112" t="str">
        <f>CONCATENATE("Hora Cátedra Enseñanza Media ",B246," hs Esc Esp")</f>
        <v>Hora Cátedra Enseñanza Media 10 hs Esc Esp</v>
      </c>
      <c r="E246" s="169">
        <v>790</v>
      </c>
      <c r="F246" s="113">
        <f>ROUND(E246*Valores!$C$2,2)</f>
        <v>77266.740000000005</v>
      </c>
      <c r="G246" s="169">
        <v>0</v>
      </c>
      <c r="H246" s="113">
        <f>ROUND(G246*Valores!$C$2,2)</f>
        <v>0</v>
      </c>
      <c r="I246" s="169">
        <v>0</v>
      </c>
      <c r="J246" s="113">
        <f>ROUND(I246*Valores!$C$2,2)</f>
        <v>0</v>
      </c>
      <c r="K246" s="169">
        <v>0</v>
      </c>
      <c r="L246" s="113">
        <f>ROUND(K246*Valores!$C$2,2)</f>
        <v>0</v>
      </c>
      <c r="M246" s="113">
        <f>ROUND(IF($H$2=0,IF(AND(A246&lt;&gt;"13-930",A246&lt;&gt;"13-940"),(SUM(F246,H246,J246,L246,W246,S246,Q246)*Valores!$C$4),0),0),2)</f>
        <v>26292.14</v>
      </c>
      <c r="N246" s="113">
        <f t="shared" si="36"/>
        <v>0</v>
      </c>
      <c r="O246" s="113">
        <f>Valores!C$65*B246</f>
        <v>66513.7</v>
      </c>
      <c r="P246" s="113">
        <f>ROUND(IF((Valores!$E$5*B246)&lt;=Valores!$F$5,Valores!$E$5*B246,Valores!$F$5),2)</f>
        <v>33332.300000000003</v>
      </c>
      <c r="Q246" s="113">
        <f>IF($F$4="NO",Valores!$C$28*B246,Valores!$C$28*B246/2)</f>
        <v>17470.400000000001</v>
      </c>
      <c r="R246" s="113">
        <f>Valores!$C$7*B246</f>
        <v>10431.400000000001</v>
      </c>
      <c r="S246" s="113">
        <f t="shared" si="41"/>
        <v>10431.4</v>
      </c>
      <c r="T246" s="113">
        <v>0</v>
      </c>
      <c r="U246" s="113">
        <v>0</v>
      </c>
      <c r="V246" s="169">
        <v>0</v>
      </c>
      <c r="W246" s="113">
        <f>ROUND(V246*Valores!$C$2,2)</f>
        <v>0</v>
      </c>
      <c r="X246" s="113">
        <v>0</v>
      </c>
      <c r="Y246" s="188">
        <v>0</v>
      </c>
      <c r="Z246" s="113">
        <f t="shared" si="37"/>
        <v>0</v>
      </c>
      <c r="AA246" s="169">
        <v>94</v>
      </c>
      <c r="AB246" s="113">
        <f>ROUND(AA246*Valores!$C$2,2)</f>
        <v>9193.76</v>
      </c>
      <c r="AC246" s="113">
        <f>ROUND(IF($F$4="NO",Valores!$C$33*B246,Valores!$C$33*B246/2),2)</f>
        <v>15585.18</v>
      </c>
      <c r="AD246" s="113">
        <f>SUM(F246,H246,J246,L246,M246,N246,O246,P246,Q246,S246,T246,U246,W246,X246,Z246,AB246,AC246)*Valores!$C$58</f>
        <v>25608.562000000002</v>
      </c>
      <c r="AE246" s="113">
        <f t="shared" si="38"/>
        <v>281694.18199999997</v>
      </c>
      <c r="AF246" s="113">
        <f>IF(Valores!$C$13*B246&gt;Valores!$F$13,Valores!$F$13,Valores!$C$13*B246)</f>
        <v>24285.333333333332</v>
      </c>
      <c r="AG246" s="113">
        <f>IF((Valores!$C$59/20*B246)&gt;Valores!$C$59,Valores!$C$59,Valores!$C$59/20*B246)</f>
        <v>12500</v>
      </c>
      <c r="AH246" s="113">
        <f t="shared" si="34"/>
        <v>36785.333333333328</v>
      </c>
      <c r="AI246" s="113">
        <f>AE246*Valores!$C$39</f>
        <v>-30986.360019999996</v>
      </c>
      <c r="AJ246" s="113">
        <f>IF(AE246&lt;Valores!$E$40,-0.02,IF(AE246&lt;Valores!$F$40,-0.03,-0.04))*AE246</f>
        <v>-5633.8836399999991</v>
      </c>
      <c r="AK246" s="113">
        <f>AE246*Valores!$C$42</f>
        <v>-15493.180009999998</v>
      </c>
      <c r="AL246" s="113">
        <f>Valores!$C$56</f>
        <v>-1270.1600000000001</v>
      </c>
      <c r="AM246" s="113">
        <f>IF($F$5=0,Valores!$C$57,(Valores!$C$57+$F$5*(Valores!$C$57)))</f>
        <v>-7026</v>
      </c>
      <c r="AN246" s="113">
        <f t="shared" si="39"/>
        <v>258069.93166333332</v>
      </c>
      <c r="AO246" s="113">
        <f t="shared" si="33"/>
        <v>-30986.360019999996</v>
      </c>
      <c r="AP246" s="113">
        <f t="shared" si="40"/>
        <v>-5633.8836399999991</v>
      </c>
      <c r="AQ246" s="113">
        <f>AE246*Valores!$C$43</f>
        <v>-7605.7429139999995</v>
      </c>
      <c r="AR246" s="113">
        <f>AE246*Valores!$C$44</f>
        <v>-845.08254599999998</v>
      </c>
      <c r="AS246" s="113">
        <f t="shared" si="35"/>
        <v>273408.44621333329</v>
      </c>
      <c r="AT246" s="113">
        <f>AE246*Valores!$C$46</f>
        <v>45071.069119999993</v>
      </c>
      <c r="AU246" s="113">
        <f>AE246*Valores!$C$47</f>
        <v>19718.59274</v>
      </c>
      <c r="AV246" s="113">
        <f>AE246*Valores!$C$48</f>
        <v>2816.9418199999996</v>
      </c>
      <c r="AW246" s="113">
        <f>AE246*Valores!$C$50</f>
        <v>9859.29637</v>
      </c>
      <c r="AX246" s="113">
        <f>AE246*Valores!$C$52</f>
        <v>15211.485827999999</v>
      </c>
      <c r="AY246" s="113">
        <f>AE246*Valores!$C$51</f>
        <v>1690.165092</v>
      </c>
      <c r="AZ246" s="114"/>
      <c r="BA246" s="114">
        <f t="shared" si="42"/>
        <v>10</v>
      </c>
      <c r="BB246" s="111" t="s">
        <v>4</v>
      </c>
    </row>
    <row r="247" spans="1:54" s="100" customFormat="1" ht="11.25" customHeight="1" x14ac:dyDescent="0.15">
      <c r="A247" s="111" t="s">
        <v>433</v>
      </c>
      <c r="B247" s="111">
        <v>11</v>
      </c>
      <c r="C247" s="114">
        <v>240</v>
      </c>
      <c r="D247" s="112" t="str">
        <f>CONCATENATE("Hora Cátedra Enseñanza Media ",B247," hs")</f>
        <v>Hora Cátedra Enseñanza Media 11 hs</v>
      </c>
      <c r="E247" s="169">
        <v>869</v>
      </c>
      <c r="F247" s="113">
        <f>ROUND(E247*Valores!$C$2,2)</f>
        <v>84993.41</v>
      </c>
      <c r="G247" s="169">
        <v>0</v>
      </c>
      <c r="H247" s="113">
        <f>ROUND(G247*Valores!$C$2,2)</f>
        <v>0</v>
      </c>
      <c r="I247" s="169">
        <v>0</v>
      </c>
      <c r="J247" s="113">
        <f>ROUND(I247*Valores!$C$2,2)</f>
        <v>0</v>
      </c>
      <c r="K247" s="169">
        <v>0</v>
      </c>
      <c r="L247" s="113">
        <f>ROUND(K247*Valores!$C$2,2)</f>
        <v>0</v>
      </c>
      <c r="M247" s="113">
        <f>ROUND(IF($H$2=0,IF(AND(A247&lt;&gt;"13-930",A247&lt;&gt;"13-940"),(SUM(F247,H247,J247,L247,W247,S247,Q247)*Valores!$C$4),0),0),2)</f>
        <v>28921.35</v>
      </c>
      <c r="N247" s="113">
        <f t="shared" si="36"/>
        <v>0</v>
      </c>
      <c r="O247" s="113">
        <f>Valores!C$65*B247</f>
        <v>73165.069999999992</v>
      </c>
      <c r="P247" s="113">
        <f>ROUND(IF((Valores!$E$5*B247)&lt;=Valores!$F$5,Valores!$E$5*B247,Valores!$F$5),2)</f>
        <v>36665.53</v>
      </c>
      <c r="Q247" s="113">
        <f>IF($F$4="NO",Valores!$C$28*B247,Valores!$C$28*B247/2)</f>
        <v>19217.439999999999</v>
      </c>
      <c r="R247" s="113">
        <f>Valores!$C$7*B247</f>
        <v>11474.54</v>
      </c>
      <c r="S247" s="113">
        <f t="shared" si="41"/>
        <v>11474.54</v>
      </c>
      <c r="T247" s="113">
        <v>0</v>
      </c>
      <c r="U247" s="113">
        <v>0</v>
      </c>
      <c r="V247" s="169">
        <v>0</v>
      </c>
      <c r="W247" s="113">
        <f>ROUND(V247*Valores!$C$2,2)</f>
        <v>0</v>
      </c>
      <c r="X247" s="113">
        <v>0</v>
      </c>
      <c r="Y247" s="188">
        <v>0</v>
      </c>
      <c r="Z247" s="113">
        <f t="shared" si="37"/>
        <v>0</v>
      </c>
      <c r="AA247" s="169">
        <v>0</v>
      </c>
      <c r="AB247" s="113">
        <f>ROUND(AA247*Valores!$C$2,2)</f>
        <v>0</v>
      </c>
      <c r="AC247" s="113">
        <f>ROUND(IF($F$4="NO",Valores!$C$33*B247,Valores!$C$33*B247/2),2)</f>
        <v>17143.7</v>
      </c>
      <c r="AD247" s="113">
        <f>SUM(F247,H247,J247,L247,M247,N247,O247,P247,Q247,S247,T247,U247,W247,X247,Z247,AB247,AC247)*Valores!$C$58</f>
        <v>27158.104000000007</v>
      </c>
      <c r="AE247" s="113">
        <f t="shared" si="38"/>
        <v>298739.14400000003</v>
      </c>
      <c r="AF247" s="113">
        <f>IF(Valores!$C$13*B247&gt;Valores!$F$13,Valores!$F$13,Valores!$C$13*B247)</f>
        <v>26713.866666666665</v>
      </c>
      <c r="AG247" s="113">
        <f>IF((Valores!$C$59/20*B247)&gt;Valores!$C$59,Valores!$C$59,Valores!$C$59/20*B247)</f>
        <v>13750</v>
      </c>
      <c r="AH247" s="113">
        <f t="shared" si="34"/>
        <v>40463.866666666669</v>
      </c>
      <c r="AI247" s="113">
        <f>AE247*Valores!$C$39</f>
        <v>-32861.305840000001</v>
      </c>
      <c r="AJ247" s="113">
        <f>IF(AE247&lt;Valores!$E$40,-0.02,IF(AE247&lt;Valores!$F$40,-0.03,-0.04))*AE247</f>
        <v>-5974.7828800000007</v>
      </c>
      <c r="AK247" s="113">
        <f>AE247*Valores!$C$42</f>
        <v>-16430.65292</v>
      </c>
      <c r="AL247" s="113">
        <f>Valores!$C$56</f>
        <v>-1270.1600000000001</v>
      </c>
      <c r="AM247" s="113">
        <f>IF($F$5=0,Valores!$C$57,(Valores!$C$57+$F$5*(Valores!$C$57)))</f>
        <v>-7026</v>
      </c>
      <c r="AN247" s="113">
        <f t="shared" si="39"/>
        <v>275640.10902666667</v>
      </c>
      <c r="AO247" s="113">
        <f t="shared" si="33"/>
        <v>-32861.305840000001</v>
      </c>
      <c r="AP247" s="113">
        <f t="shared" si="40"/>
        <v>-5974.7828800000007</v>
      </c>
      <c r="AQ247" s="113">
        <f>AE247*Valores!$C$43</f>
        <v>-8065.9568880000006</v>
      </c>
      <c r="AR247" s="113">
        <f>AE247*Valores!$C$44</f>
        <v>-896.21743200000014</v>
      </c>
      <c r="AS247" s="113">
        <f t="shared" si="35"/>
        <v>291404.74762666668</v>
      </c>
      <c r="AT247" s="113">
        <f>AE247*Valores!$C$46</f>
        <v>47798.263040000005</v>
      </c>
      <c r="AU247" s="113">
        <f>AE247*Valores!$C$47</f>
        <v>20911.740080000003</v>
      </c>
      <c r="AV247" s="113">
        <f>AE247*Valores!$C$48</f>
        <v>2987.3914400000003</v>
      </c>
      <c r="AW247" s="113">
        <f>AE247*Valores!$C$50</f>
        <v>10455.870040000002</v>
      </c>
      <c r="AX247" s="113">
        <f>AE247*Valores!$C$52</f>
        <v>16131.913776000001</v>
      </c>
      <c r="AY247" s="113">
        <f>AE247*Valores!$C$51</f>
        <v>1792.4348640000003</v>
      </c>
      <c r="AZ247" s="114"/>
      <c r="BA247" s="114">
        <f t="shared" si="42"/>
        <v>11</v>
      </c>
      <c r="BB247" s="111" t="s">
        <v>4</v>
      </c>
    </row>
    <row r="248" spans="1:54" s="100" customFormat="1" ht="11.25" customHeight="1" x14ac:dyDescent="0.15">
      <c r="A248" s="111" t="s">
        <v>433</v>
      </c>
      <c r="B248" s="111">
        <v>11</v>
      </c>
      <c r="C248" s="114">
        <v>241</v>
      </c>
      <c r="D248" s="112" t="str">
        <f>CONCATENATE("Hora Cátedra Enseñanza Media ",B248," hs Esc Esp")</f>
        <v>Hora Cátedra Enseñanza Media 11 hs Esc Esp</v>
      </c>
      <c r="E248" s="169">
        <v>869</v>
      </c>
      <c r="F248" s="113">
        <f>ROUND(E248*Valores!$C$2,2)</f>
        <v>84993.41</v>
      </c>
      <c r="G248" s="169">
        <v>0</v>
      </c>
      <c r="H248" s="113">
        <f>ROUND(G248*Valores!$C$2,2)</f>
        <v>0</v>
      </c>
      <c r="I248" s="169">
        <v>0</v>
      </c>
      <c r="J248" s="113">
        <f>ROUND(I248*Valores!$C$2,2)</f>
        <v>0</v>
      </c>
      <c r="K248" s="169">
        <v>0</v>
      </c>
      <c r="L248" s="113">
        <f>ROUND(K248*Valores!$C$2,2)</f>
        <v>0</v>
      </c>
      <c r="M248" s="113">
        <f>ROUND(IF($H$2=0,IF(AND(A248&lt;&gt;"13-930",A248&lt;&gt;"13-940"),(SUM(F248,H248,J248,L248,W248,S248,Q248)*Valores!$C$4),0),0),2)</f>
        <v>28921.35</v>
      </c>
      <c r="N248" s="113">
        <f t="shared" si="36"/>
        <v>0</v>
      </c>
      <c r="O248" s="113">
        <f>Valores!C$65*B248</f>
        <v>73165.069999999992</v>
      </c>
      <c r="P248" s="113">
        <f>ROUND(IF((Valores!$E$5*B248)&lt;=Valores!$F$5,Valores!$E$5*B248,Valores!$F$5),2)</f>
        <v>36665.53</v>
      </c>
      <c r="Q248" s="113">
        <f>IF($F$4="NO",Valores!$C$28*B248,Valores!$C$28*B248/2)</f>
        <v>19217.439999999999</v>
      </c>
      <c r="R248" s="113">
        <f>Valores!$C$7*B248</f>
        <v>11474.54</v>
      </c>
      <c r="S248" s="113">
        <f t="shared" si="41"/>
        <v>11474.54</v>
      </c>
      <c r="T248" s="113">
        <v>0</v>
      </c>
      <c r="U248" s="113">
        <v>0</v>
      </c>
      <c r="V248" s="169">
        <v>0</v>
      </c>
      <c r="W248" s="113">
        <f>ROUND(V248*Valores!$C$2,2)</f>
        <v>0</v>
      </c>
      <c r="X248" s="113">
        <v>0</v>
      </c>
      <c r="Y248" s="188">
        <v>0</v>
      </c>
      <c r="Z248" s="113">
        <f t="shared" si="37"/>
        <v>0</v>
      </c>
      <c r="AA248" s="169">
        <v>94</v>
      </c>
      <c r="AB248" s="113">
        <f>ROUND(AA248*Valores!$C$2,2)</f>
        <v>9193.76</v>
      </c>
      <c r="AC248" s="113">
        <f>ROUND(IF($F$4="NO",Valores!$C$33*B248,Valores!$C$33*B248/2),2)</f>
        <v>17143.7</v>
      </c>
      <c r="AD248" s="113">
        <f>SUM(F248,H248,J248,L248,M248,N248,O248,P248,Q248,S248,T248,U248,W248,X248,Z248,AB248,AC248)*Valores!$C$58</f>
        <v>28077.480000000007</v>
      </c>
      <c r="AE248" s="113">
        <f t="shared" si="38"/>
        <v>308852.28000000003</v>
      </c>
      <c r="AF248" s="113">
        <f>IF(Valores!$C$13*B248&gt;Valores!$F$13,Valores!$F$13,Valores!$C$13*B248)</f>
        <v>26713.866666666665</v>
      </c>
      <c r="AG248" s="113">
        <f>IF((Valores!$C$59/20*B248)&gt;Valores!$C$59,Valores!$C$59,Valores!$C$59/20*B248)</f>
        <v>13750</v>
      </c>
      <c r="AH248" s="113">
        <f t="shared" si="34"/>
        <v>40463.866666666669</v>
      </c>
      <c r="AI248" s="113">
        <f>AE248*Valores!$C$39</f>
        <v>-33973.750800000002</v>
      </c>
      <c r="AJ248" s="113">
        <f>IF(AE248&lt;Valores!$E$40,-0.02,IF(AE248&lt;Valores!$F$40,-0.03,-0.04))*AE248</f>
        <v>-6177.0456000000004</v>
      </c>
      <c r="AK248" s="113">
        <f>AE248*Valores!$C$42</f>
        <v>-16986.875400000001</v>
      </c>
      <c r="AL248" s="113">
        <f>Valores!$C$56</f>
        <v>-1270.1600000000001</v>
      </c>
      <c r="AM248" s="113">
        <f>IF($F$5=0,Valores!$C$57,(Valores!$C$57+$F$5*(Valores!$C$57)))</f>
        <v>-7026</v>
      </c>
      <c r="AN248" s="113">
        <f t="shared" si="39"/>
        <v>283882.31486666668</v>
      </c>
      <c r="AO248" s="113">
        <f t="shared" si="33"/>
        <v>-33973.750800000002</v>
      </c>
      <c r="AP248" s="113">
        <f t="shared" si="40"/>
        <v>-6177.0456000000004</v>
      </c>
      <c r="AQ248" s="113">
        <f>AE248*Valores!$C$43</f>
        <v>-8339.0115600000008</v>
      </c>
      <c r="AR248" s="113">
        <f>AE248*Valores!$C$44</f>
        <v>-926.55684000000008</v>
      </c>
      <c r="AS248" s="113">
        <f t="shared" si="35"/>
        <v>299899.78186666674</v>
      </c>
      <c r="AT248" s="113">
        <f>AE248*Valores!$C$46</f>
        <v>49416.364800000003</v>
      </c>
      <c r="AU248" s="113">
        <f>AE248*Valores!$C$47</f>
        <v>21619.659600000003</v>
      </c>
      <c r="AV248" s="113">
        <f>AE248*Valores!$C$48</f>
        <v>3088.5228000000002</v>
      </c>
      <c r="AW248" s="113">
        <f>AE248*Valores!$C$50</f>
        <v>10809.829800000001</v>
      </c>
      <c r="AX248" s="113">
        <f>AE248*Valores!$C$52</f>
        <v>16678.023120000002</v>
      </c>
      <c r="AY248" s="113">
        <f>AE248*Valores!$C$51</f>
        <v>1853.1136800000002</v>
      </c>
      <c r="AZ248" s="114"/>
      <c r="BA248" s="114">
        <f t="shared" si="42"/>
        <v>11</v>
      </c>
      <c r="BB248" s="111" t="s">
        <v>4</v>
      </c>
    </row>
    <row r="249" spans="1:54" s="100" customFormat="1" ht="11.25" customHeight="1" x14ac:dyDescent="0.15">
      <c r="A249" s="111" t="s">
        <v>433</v>
      </c>
      <c r="B249" s="111">
        <v>12</v>
      </c>
      <c r="C249" s="114">
        <v>242</v>
      </c>
      <c r="D249" s="112" t="str">
        <f>CONCATENATE("Hora Cátedra Enseñanza Media ",B249," hs")</f>
        <v>Hora Cátedra Enseñanza Media 12 hs</v>
      </c>
      <c r="E249" s="169">
        <v>948</v>
      </c>
      <c r="F249" s="113">
        <f>ROUND(E249*Valores!$C$2,2)</f>
        <v>92720.09</v>
      </c>
      <c r="G249" s="169">
        <v>0</v>
      </c>
      <c r="H249" s="113">
        <f>ROUND(G249*Valores!$C$2,2)</f>
        <v>0</v>
      </c>
      <c r="I249" s="169">
        <v>0</v>
      </c>
      <c r="J249" s="113">
        <f>ROUND(I249*Valores!$C$2,2)</f>
        <v>0</v>
      </c>
      <c r="K249" s="169">
        <v>0</v>
      </c>
      <c r="L249" s="113">
        <f>ROUND(K249*Valores!$C$2,2)</f>
        <v>0</v>
      </c>
      <c r="M249" s="113">
        <f>ROUND(IF($H$2=0,IF(AND(A249&lt;&gt;"13-930",A249&lt;&gt;"13-940"),(SUM(F249,H249,J249,L249,W249,S249,Q249)*Valores!$C$4),0),0),2)</f>
        <v>31550.560000000001</v>
      </c>
      <c r="N249" s="113">
        <f t="shared" si="36"/>
        <v>0</v>
      </c>
      <c r="O249" s="113">
        <f>Valores!C$65*B249</f>
        <v>79816.44</v>
      </c>
      <c r="P249" s="113">
        <f>ROUND(IF((Valores!$E$5*B249)&lt;=Valores!$F$5,Valores!$E$5*B249,Valores!$F$5),2)</f>
        <v>39998.76</v>
      </c>
      <c r="Q249" s="113">
        <f>IF($F$4="NO",Valores!$C$28*B249,Valores!$C$28*B249/2)</f>
        <v>20964.48</v>
      </c>
      <c r="R249" s="113">
        <f>Valores!$C$7*B249</f>
        <v>12517.68</v>
      </c>
      <c r="S249" s="113">
        <f t="shared" si="41"/>
        <v>12517.68</v>
      </c>
      <c r="T249" s="113">
        <v>0</v>
      </c>
      <c r="U249" s="113">
        <v>0</v>
      </c>
      <c r="V249" s="169">
        <v>0</v>
      </c>
      <c r="W249" s="113">
        <f>ROUND(V249*Valores!$C$2,2)</f>
        <v>0</v>
      </c>
      <c r="X249" s="113">
        <v>0</v>
      </c>
      <c r="Y249" s="188">
        <v>0</v>
      </c>
      <c r="Z249" s="113">
        <f t="shared" si="37"/>
        <v>0</v>
      </c>
      <c r="AA249" s="169">
        <v>0</v>
      </c>
      <c r="AB249" s="113">
        <f>ROUND(AA249*Valores!$C$2,2)</f>
        <v>0</v>
      </c>
      <c r="AC249" s="113">
        <f>ROUND(IF($F$4="NO",Valores!$C$33*B249,Valores!$C$33*B249/2),2)</f>
        <v>18702.22</v>
      </c>
      <c r="AD249" s="113">
        <f>SUM(F249,H249,J249,L249,M249,N249,O249,P249,Q249,S249,T249,U249,W249,X249,Z249,AB249,AC249)*Valores!$C$58</f>
        <v>29627.023000000001</v>
      </c>
      <c r="AE249" s="113">
        <f t="shared" si="38"/>
        <v>325897.25299999997</v>
      </c>
      <c r="AF249" s="113">
        <f>IF(Valores!$C$13*B249&gt;Valores!$F$13,Valores!$F$13,Valores!$C$13*B249)</f>
        <v>29142.400000000001</v>
      </c>
      <c r="AG249" s="113">
        <f>IF((Valores!$C$59/20*B249)&gt;Valores!$C$59,Valores!$C$59,Valores!$C$59/20*B249)</f>
        <v>15000</v>
      </c>
      <c r="AH249" s="113">
        <f t="shared" si="34"/>
        <v>44142.400000000001</v>
      </c>
      <c r="AI249" s="113">
        <f>AE249*Valores!$C$39</f>
        <v>-35848.697829999997</v>
      </c>
      <c r="AJ249" s="113">
        <f>IF(AE249&lt;Valores!$E$40,-0.02,IF(AE249&lt;Valores!$F$40,-0.03,-0.04))*AE249</f>
        <v>-6517.9450599999991</v>
      </c>
      <c r="AK249" s="113">
        <f>AE249*Valores!$C$42</f>
        <v>-17924.348914999999</v>
      </c>
      <c r="AL249" s="113">
        <f>Valores!$C$56</f>
        <v>-1270.1600000000001</v>
      </c>
      <c r="AM249" s="113">
        <f>IF($F$5=0,Valores!$C$57,(Valores!$C$57+$F$5*(Valores!$C$57)))</f>
        <v>-7026</v>
      </c>
      <c r="AN249" s="113">
        <f t="shared" si="39"/>
        <v>301452.50119499996</v>
      </c>
      <c r="AO249" s="113">
        <f t="shared" si="33"/>
        <v>-35848.697829999997</v>
      </c>
      <c r="AP249" s="113">
        <f t="shared" si="40"/>
        <v>-6517.9450599999991</v>
      </c>
      <c r="AQ249" s="113">
        <f>AE249*Valores!$C$43</f>
        <v>-8799.2258309999997</v>
      </c>
      <c r="AR249" s="113">
        <f>AE249*Valores!$C$44</f>
        <v>-977.69175899999993</v>
      </c>
      <c r="AS249" s="113">
        <f t="shared" si="35"/>
        <v>317896.09252000001</v>
      </c>
      <c r="AT249" s="113">
        <f>AE249*Valores!$C$46</f>
        <v>52143.560479999993</v>
      </c>
      <c r="AU249" s="113">
        <f>AE249*Valores!$C$47</f>
        <v>22812.807710000001</v>
      </c>
      <c r="AV249" s="113">
        <f>AE249*Valores!$C$48</f>
        <v>3258.9725299999996</v>
      </c>
      <c r="AW249" s="113">
        <f>AE249*Valores!$C$50</f>
        <v>11406.403855</v>
      </c>
      <c r="AX249" s="113">
        <f>AE249*Valores!$C$52</f>
        <v>17598.451661999999</v>
      </c>
      <c r="AY249" s="113">
        <f>AE249*Valores!$C$51</f>
        <v>1955.3835179999999</v>
      </c>
      <c r="AZ249" s="114"/>
      <c r="BA249" s="114">
        <f t="shared" si="42"/>
        <v>12</v>
      </c>
      <c r="BB249" s="111" t="s">
        <v>4</v>
      </c>
    </row>
    <row r="250" spans="1:54" s="100" customFormat="1" ht="11.25" customHeight="1" x14ac:dyDescent="0.15">
      <c r="A250" s="111" t="s">
        <v>433</v>
      </c>
      <c r="B250" s="111">
        <v>12</v>
      </c>
      <c r="C250" s="114">
        <v>243</v>
      </c>
      <c r="D250" s="112" t="str">
        <f>CONCATENATE("Hora Cátedra Enseñanza Media ",B250," hs Esc Esp")</f>
        <v>Hora Cátedra Enseñanza Media 12 hs Esc Esp</v>
      </c>
      <c r="E250" s="169">
        <v>948</v>
      </c>
      <c r="F250" s="113">
        <f>ROUND(E250*Valores!$C$2,2)</f>
        <v>92720.09</v>
      </c>
      <c r="G250" s="169">
        <v>0</v>
      </c>
      <c r="H250" s="113">
        <f>ROUND(G250*Valores!$C$2,2)</f>
        <v>0</v>
      </c>
      <c r="I250" s="169">
        <v>0</v>
      </c>
      <c r="J250" s="113">
        <f>ROUND(I250*Valores!$C$2,2)</f>
        <v>0</v>
      </c>
      <c r="K250" s="169">
        <v>0</v>
      </c>
      <c r="L250" s="113">
        <f>ROUND(K250*Valores!$C$2,2)</f>
        <v>0</v>
      </c>
      <c r="M250" s="113">
        <f>ROUND(IF($H$2=0,IF(AND(A250&lt;&gt;"13-930",A250&lt;&gt;"13-940"),(SUM(F250,H250,J250,L250,W250,S250,Q250)*Valores!$C$4),0),0),2)</f>
        <v>31550.560000000001</v>
      </c>
      <c r="N250" s="113">
        <f t="shared" si="36"/>
        <v>0</v>
      </c>
      <c r="O250" s="113">
        <f>Valores!C$65*B250</f>
        <v>79816.44</v>
      </c>
      <c r="P250" s="113">
        <f>ROUND(IF((Valores!$E$5*B250)&lt;=Valores!$F$5,Valores!$E$5*B250,Valores!$F$5),2)</f>
        <v>39998.76</v>
      </c>
      <c r="Q250" s="113">
        <f>IF($F$4="NO",Valores!$C$28*B250,Valores!$C$28*B250/2)</f>
        <v>20964.48</v>
      </c>
      <c r="R250" s="113">
        <f>Valores!$C$7*B250</f>
        <v>12517.68</v>
      </c>
      <c r="S250" s="113">
        <f t="shared" si="41"/>
        <v>12517.68</v>
      </c>
      <c r="T250" s="113">
        <v>0</v>
      </c>
      <c r="U250" s="113">
        <v>0</v>
      </c>
      <c r="V250" s="169">
        <v>0</v>
      </c>
      <c r="W250" s="113">
        <f>ROUND(V250*Valores!$C$2,2)</f>
        <v>0</v>
      </c>
      <c r="X250" s="113">
        <v>0</v>
      </c>
      <c r="Y250" s="188">
        <v>0</v>
      </c>
      <c r="Z250" s="113">
        <f t="shared" si="37"/>
        <v>0</v>
      </c>
      <c r="AA250" s="169">
        <v>94</v>
      </c>
      <c r="AB250" s="113">
        <f>ROUND(AA250*Valores!$C$2,2)</f>
        <v>9193.76</v>
      </c>
      <c r="AC250" s="113">
        <f>ROUND(IF($F$4="NO",Valores!$C$33*B250,Valores!$C$33*B250/2),2)</f>
        <v>18702.22</v>
      </c>
      <c r="AD250" s="113">
        <f>SUM(F250,H250,J250,L250,M250,N250,O250,P250,Q250,S250,T250,U250,W250,X250,Z250,AB250,AC250)*Valores!$C$58</f>
        <v>30546.399000000001</v>
      </c>
      <c r="AE250" s="113">
        <f t="shared" si="38"/>
        <v>336010.38899999997</v>
      </c>
      <c r="AF250" s="113">
        <f>IF(Valores!$C$13*B250&gt;Valores!$F$13,Valores!$F$13,Valores!$C$13*B250)</f>
        <v>29142.400000000001</v>
      </c>
      <c r="AG250" s="113">
        <f>IF((Valores!$C$59/20*B250)&gt;Valores!$C$59,Valores!$C$59,Valores!$C$59/20*B250)</f>
        <v>15000</v>
      </c>
      <c r="AH250" s="113">
        <f t="shared" si="34"/>
        <v>44142.400000000001</v>
      </c>
      <c r="AI250" s="113">
        <f>AE250*Valores!$C$39</f>
        <v>-36961.142789999998</v>
      </c>
      <c r="AJ250" s="113">
        <f>IF(AE250&lt;Valores!$E$40,-0.02,IF(AE250&lt;Valores!$F$40,-0.03,-0.04))*AE250</f>
        <v>-6720.2077799999997</v>
      </c>
      <c r="AK250" s="113">
        <f>AE250*Valores!$C$42</f>
        <v>-18480.571394999999</v>
      </c>
      <c r="AL250" s="113">
        <f>Valores!$C$56</f>
        <v>-1270.1600000000001</v>
      </c>
      <c r="AM250" s="113">
        <f>IF($F$5=0,Valores!$C$57,(Valores!$C$57+$F$5*(Valores!$C$57)))</f>
        <v>-7026</v>
      </c>
      <c r="AN250" s="113">
        <f t="shared" si="39"/>
        <v>309694.70703499997</v>
      </c>
      <c r="AO250" s="113">
        <f t="shared" si="33"/>
        <v>-36961.142789999998</v>
      </c>
      <c r="AP250" s="113">
        <f t="shared" si="40"/>
        <v>-6720.2077799999997</v>
      </c>
      <c r="AQ250" s="113">
        <f>AE250*Valores!$C$43</f>
        <v>-9072.2805029999981</v>
      </c>
      <c r="AR250" s="113">
        <f>AE250*Valores!$C$44</f>
        <v>-1008.0311669999999</v>
      </c>
      <c r="AS250" s="113">
        <f t="shared" si="35"/>
        <v>326391.12676000001</v>
      </c>
      <c r="AT250" s="113">
        <f>AE250*Valores!$C$46</f>
        <v>53761.662239999998</v>
      </c>
      <c r="AU250" s="113">
        <f>AE250*Valores!$C$47</f>
        <v>23520.72723</v>
      </c>
      <c r="AV250" s="113">
        <f>AE250*Valores!$C$48</f>
        <v>3360.1038899999999</v>
      </c>
      <c r="AW250" s="113">
        <f>AE250*Valores!$C$50</f>
        <v>11760.363615</v>
      </c>
      <c r="AX250" s="113">
        <f>AE250*Valores!$C$52</f>
        <v>18144.561005999996</v>
      </c>
      <c r="AY250" s="113">
        <f>AE250*Valores!$C$51</f>
        <v>2016.0623339999997</v>
      </c>
      <c r="AZ250" s="114"/>
      <c r="BA250" s="114">
        <f t="shared" si="42"/>
        <v>12</v>
      </c>
      <c r="BB250" s="111" t="s">
        <v>4</v>
      </c>
    </row>
    <row r="251" spans="1:54" s="100" customFormat="1" ht="11.25" customHeight="1" x14ac:dyDescent="0.15">
      <c r="A251" s="111" t="s">
        <v>433</v>
      </c>
      <c r="B251" s="111">
        <v>13</v>
      </c>
      <c r="C251" s="114">
        <v>244</v>
      </c>
      <c r="D251" s="112" t="str">
        <f>CONCATENATE("Hora Cátedra Enseñanza Media ",B251," hs")</f>
        <v>Hora Cátedra Enseñanza Media 13 hs</v>
      </c>
      <c r="E251" s="169">
        <v>1027</v>
      </c>
      <c r="F251" s="113">
        <f>ROUND(E251*Valores!$C$2,2)</f>
        <v>100446.76</v>
      </c>
      <c r="G251" s="169">
        <v>0</v>
      </c>
      <c r="H251" s="113">
        <f>ROUND(G251*Valores!$C$2,2)</f>
        <v>0</v>
      </c>
      <c r="I251" s="169">
        <v>0</v>
      </c>
      <c r="J251" s="113">
        <f>ROUND(I251*Valores!$C$2,2)</f>
        <v>0</v>
      </c>
      <c r="K251" s="169">
        <v>0</v>
      </c>
      <c r="L251" s="113">
        <f>ROUND(K251*Valores!$C$2,2)</f>
        <v>0</v>
      </c>
      <c r="M251" s="113">
        <f>ROUND(IF($H$2=0,IF(AND(A251&lt;&gt;"13-930",A251&lt;&gt;"13-940"),(SUM(F251,H251,J251,L251,W251,S251,Q251)*Valores!$C$4),0),0),2)</f>
        <v>34179.78</v>
      </c>
      <c r="N251" s="113">
        <f t="shared" si="36"/>
        <v>0</v>
      </c>
      <c r="O251" s="113">
        <f>Valores!C$65*B251</f>
        <v>86467.81</v>
      </c>
      <c r="P251" s="113">
        <f>ROUND(IF((Valores!$E$5*B251)&lt;=Valores!$F$5,Valores!$E$5*B251,Valores!$F$5),2)</f>
        <v>43331.99</v>
      </c>
      <c r="Q251" s="113">
        <f>IF($F$4="NO",Valores!$C$28*B251,Valores!$C$28*B251/2)</f>
        <v>22711.52</v>
      </c>
      <c r="R251" s="113">
        <f>Valores!$C$7*B251</f>
        <v>13560.820000000002</v>
      </c>
      <c r="S251" s="113">
        <f t="shared" si="41"/>
        <v>13560.82</v>
      </c>
      <c r="T251" s="113">
        <v>0</v>
      </c>
      <c r="U251" s="113">
        <v>0</v>
      </c>
      <c r="V251" s="169">
        <v>0</v>
      </c>
      <c r="W251" s="113">
        <f>ROUND(V251*Valores!$C$2,2)</f>
        <v>0</v>
      </c>
      <c r="X251" s="113">
        <v>0</v>
      </c>
      <c r="Y251" s="188">
        <v>0</v>
      </c>
      <c r="Z251" s="113">
        <f t="shared" si="37"/>
        <v>0</v>
      </c>
      <c r="AA251" s="169">
        <v>0</v>
      </c>
      <c r="AB251" s="113">
        <f>ROUND(AA251*Valores!$C$2,2)</f>
        <v>0</v>
      </c>
      <c r="AC251" s="113">
        <f>ROUND(IF($F$4="NO",Valores!$C$33*B251,Valores!$C$33*B251/2),2)</f>
        <v>20260.73</v>
      </c>
      <c r="AD251" s="113">
        <f>SUM(F251,H251,J251,L251,M251,N251,O251,P251,Q251,S251,T251,U251,W251,X251,Z251,AB251,AC251)*Valores!$C$58</f>
        <v>32095.940999999999</v>
      </c>
      <c r="AE251" s="113">
        <f t="shared" si="38"/>
        <v>353055.35099999997</v>
      </c>
      <c r="AF251" s="113">
        <f>IF(Valores!$C$13*B251&gt;Valores!$F$13,Valores!$F$13,Valores!$C$13*B251)</f>
        <v>31570.933333333334</v>
      </c>
      <c r="AG251" s="113">
        <f>IF((Valores!$C$59/20*B251)&gt;Valores!$C$59,Valores!$C$59,Valores!$C$59/20*B251)</f>
        <v>16250</v>
      </c>
      <c r="AH251" s="113">
        <f t="shared" si="34"/>
        <v>47820.933333333334</v>
      </c>
      <c r="AI251" s="113">
        <f>AE251*Valores!$C$39</f>
        <v>-38836.088609999999</v>
      </c>
      <c r="AJ251" s="113">
        <f>IF(AE251&lt;Valores!$E$40,-0.02,IF(AE251&lt;Valores!$F$40,-0.03,-0.04))*AE251</f>
        <v>-7061.1070199999995</v>
      </c>
      <c r="AK251" s="113">
        <f>AE251*Valores!$C$42</f>
        <v>-19418.044304999999</v>
      </c>
      <c r="AL251" s="113">
        <f>Valores!$C$56</f>
        <v>-1270.1600000000001</v>
      </c>
      <c r="AM251" s="113">
        <f>IF($F$5=0,Valores!$C$57,(Valores!$C$57+$F$5*(Valores!$C$57)))</f>
        <v>-7026</v>
      </c>
      <c r="AN251" s="113">
        <f t="shared" si="39"/>
        <v>327264.88439833332</v>
      </c>
      <c r="AO251" s="113">
        <f t="shared" si="33"/>
        <v>-38836.088609999999</v>
      </c>
      <c r="AP251" s="113">
        <f t="shared" si="40"/>
        <v>-7061.1070199999995</v>
      </c>
      <c r="AQ251" s="113">
        <f>AE251*Valores!$C$43</f>
        <v>-9532.4944769999984</v>
      </c>
      <c r="AR251" s="113">
        <f>AE251*Valores!$C$44</f>
        <v>-1059.1660529999999</v>
      </c>
      <c r="AS251" s="113">
        <f t="shared" si="35"/>
        <v>344387.42817333329</v>
      </c>
      <c r="AT251" s="113">
        <f>AE251*Valores!$C$46</f>
        <v>56488.856159999996</v>
      </c>
      <c r="AU251" s="113">
        <f>AE251*Valores!$C$47</f>
        <v>24713.87457</v>
      </c>
      <c r="AV251" s="113">
        <f>AE251*Valores!$C$48</f>
        <v>3530.5535099999997</v>
      </c>
      <c r="AW251" s="113">
        <f>AE251*Valores!$C$50</f>
        <v>12356.937285</v>
      </c>
      <c r="AX251" s="113">
        <f>AE251*Valores!$C$52</f>
        <v>19064.988953999997</v>
      </c>
      <c r="AY251" s="113">
        <f>AE251*Valores!$C$51</f>
        <v>2118.3321059999998</v>
      </c>
      <c r="AZ251" s="114"/>
      <c r="BA251" s="114">
        <f t="shared" si="42"/>
        <v>13</v>
      </c>
      <c r="BB251" s="111" t="s">
        <v>4</v>
      </c>
    </row>
    <row r="252" spans="1:54" s="100" customFormat="1" ht="11.25" customHeight="1" x14ac:dyDescent="0.15">
      <c r="A252" s="111" t="s">
        <v>433</v>
      </c>
      <c r="B252" s="111">
        <v>13</v>
      </c>
      <c r="C252" s="114">
        <v>245</v>
      </c>
      <c r="D252" s="112" t="str">
        <f>CONCATENATE("Hora Cátedra Enseñanza Media ",B252," hs Esc Esp")</f>
        <v>Hora Cátedra Enseñanza Media 13 hs Esc Esp</v>
      </c>
      <c r="E252" s="169">
        <v>1027</v>
      </c>
      <c r="F252" s="113">
        <f>ROUND(E252*Valores!$C$2,2)</f>
        <v>100446.76</v>
      </c>
      <c r="G252" s="169">
        <v>0</v>
      </c>
      <c r="H252" s="113">
        <f>ROUND(G252*Valores!$C$2,2)</f>
        <v>0</v>
      </c>
      <c r="I252" s="169">
        <v>0</v>
      </c>
      <c r="J252" s="113">
        <f>ROUND(I252*Valores!$C$2,2)</f>
        <v>0</v>
      </c>
      <c r="K252" s="169">
        <v>0</v>
      </c>
      <c r="L252" s="113">
        <f>ROUND(K252*Valores!$C$2,2)</f>
        <v>0</v>
      </c>
      <c r="M252" s="113">
        <f>ROUND(IF($H$2=0,IF(AND(A252&lt;&gt;"13-930",A252&lt;&gt;"13-940"),(SUM(F252,H252,J252,L252,W252,S252,Q252)*Valores!$C$4),0),0),2)</f>
        <v>34179.78</v>
      </c>
      <c r="N252" s="113">
        <f t="shared" si="36"/>
        <v>0</v>
      </c>
      <c r="O252" s="113">
        <f>Valores!C$65*B252</f>
        <v>86467.81</v>
      </c>
      <c r="P252" s="113">
        <f>ROUND(IF((Valores!$E$5*B252)&lt;=Valores!$F$5,Valores!$E$5*B252,Valores!$F$5),2)</f>
        <v>43331.99</v>
      </c>
      <c r="Q252" s="113">
        <f>IF($F$4="NO",Valores!$C$28*B252,Valores!$C$28*B252/2)</f>
        <v>22711.52</v>
      </c>
      <c r="R252" s="113">
        <f>Valores!$C$7*B252</f>
        <v>13560.820000000002</v>
      </c>
      <c r="S252" s="113">
        <f t="shared" si="41"/>
        <v>13560.82</v>
      </c>
      <c r="T252" s="113">
        <v>0</v>
      </c>
      <c r="U252" s="113">
        <v>0</v>
      </c>
      <c r="V252" s="169">
        <v>0</v>
      </c>
      <c r="W252" s="113">
        <f>ROUND(V252*Valores!$C$2,2)</f>
        <v>0</v>
      </c>
      <c r="X252" s="113">
        <v>0</v>
      </c>
      <c r="Y252" s="188">
        <v>0</v>
      </c>
      <c r="Z252" s="113">
        <f t="shared" si="37"/>
        <v>0</v>
      </c>
      <c r="AA252" s="169">
        <v>94</v>
      </c>
      <c r="AB252" s="113">
        <f>ROUND(AA252*Valores!$C$2,2)</f>
        <v>9193.76</v>
      </c>
      <c r="AC252" s="113">
        <f>ROUND(IF($F$4="NO",Valores!$C$33*B252,Valores!$C$33*B252/2),2)</f>
        <v>20260.73</v>
      </c>
      <c r="AD252" s="113">
        <f>SUM(F252,H252,J252,L252,M252,N252,O252,P252,Q252,S252,T252,U252,W252,X252,Z252,AB252,AC252)*Valores!$C$58</f>
        <v>33015.317000000003</v>
      </c>
      <c r="AE252" s="113">
        <f t="shared" si="38"/>
        <v>363168.48699999996</v>
      </c>
      <c r="AF252" s="113">
        <f>IF(Valores!$C$13*B252&gt;Valores!$F$13,Valores!$F$13,Valores!$C$13*B252)</f>
        <v>31570.933333333334</v>
      </c>
      <c r="AG252" s="113">
        <f>IF((Valores!$C$59/20*B252)&gt;Valores!$C$59,Valores!$C$59,Valores!$C$59/20*B252)</f>
        <v>16250</v>
      </c>
      <c r="AH252" s="113">
        <f t="shared" si="34"/>
        <v>47820.933333333334</v>
      </c>
      <c r="AI252" s="113">
        <f>AE252*Valores!$C$39</f>
        <v>-39948.53357</v>
      </c>
      <c r="AJ252" s="113">
        <f>IF(AE252&lt;Valores!$E$40,-0.02,IF(AE252&lt;Valores!$F$40,-0.03,-0.04))*AE252</f>
        <v>-7263.3697399999992</v>
      </c>
      <c r="AK252" s="113">
        <f>AE252*Valores!$C$42</f>
        <v>-19974.266785</v>
      </c>
      <c r="AL252" s="113">
        <f>Valores!$C$56</f>
        <v>-1270.1600000000001</v>
      </c>
      <c r="AM252" s="113">
        <f>IF($F$5=0,Valores!$C$57,(Valores!$C$57+$F$5*(Valores!$C$57)))</f>
        <v>-7026</v>
      </c>
      <c r="AN252" s="113">
        <f t="shared" si="39"/>
        <v>335507.09023833333</v>
      </c>
      <c r="AO252" s="113">
        <f t="shared" si="33"/>
        <v>-39948.53357</v>
      </c>
      <c r="AP252" s="113">
        <f t="shared" si="40"/>
        <v>-7263.3697399999992</v>
      </c>
      <c r="AQ252" s="113">
        <f>AE252*Valores!$C$43</f>
        <v>-9805.5491489999986</v>
      </c>
      <c r="AR252" s="113">
        <f>AE252*Valores!$C$44</f>
        <v>-1089.505461</v>
      </c>
      <c r="AS252" s="113">
        <f t="shared" si="35"/>
        <v>352882.4624133333</v>
      </c>
      <c r="AT252" s="113">
        <f>AE252*Valores!$C$46</f>
        <v>58106.957919999993</v>
      </c>
      <c r="AU252" s="113">
        <f>AE252*Valores!$C$47</f>
        <v>25421.794089999999</v>
      </c>
      <c r="AV252" s="113">
        <f>AE252*Valores!$C$48</f>
        <v>3631.6848699999996</v>
      </c>
      <c r="AW252" s="113">
        <f>AE252*Valores!$C$50</f>
        <v>12710.897045</v>
      </c>
      <c r="AX252" s="113">
        <f>AE252*Valores!$C$52</f>
        <v>19611.098297999997</v>
      </c>
      <c r="AY252" s="113">
        <f>AE252*Valores!$C$51</f>
        <v>2179.0109219999999</v>
      </c>
      <c r="AZ252" s="114"/>
      <c r="BA252" s="114">
        <f t="shared" si="42"/>
        <v>13</v>
      </c>
      <c r="BB252" s="111" t="s">
        <v>4</v>
      </c>
    </row>
    <row r="253" spans="1:54" s="100" customFormat="1" ht="11.25" customHeight="1" x14ac:dyDescent="0.15">
      <c r="A253" s="111" t="s">
        <v>433</v>
      </c>
      <c r="B253" s="111">
        <v>14</v>
      </c>
      <c r="C253" s="114">
        <v>246</v>
      </c>
      <c r="D253" s="112" t="str">
        <f>CONCATENATE("Hora Cátedra Enseñanza Media ",B253," hs")</f>
        <v>Hora Cátedra Enseñanza Media 14 hs</v>
      </c>
      <c r="E253" s="169">
        <v>1106</v>
      </c>
      <c r="F253" s="113">
        <f>ROUND(E253*Valores!$C$2,2)</f>
        <v>108173.44</v>
      </c>
      <c r="G253" s="169">
        <v>0</v>
      </c>
      <c r="H253" s="113">
        <f>ROUND(G253*Valores!$C$2,2)</f>
        <v>0</v>
      </c>
      <c r="I253" s="169">
        <v>0</v>
      </c>
      <c r="J253" s="113">
        <f>ROUND(I253*Valores!$C$2,2)</f>
        <v>0</v>
      </c>
      <c r="K253" s="169">
        <v>0</v>
      </c>
      <c r="L253" s="113">
        <f>ROUND(K253*Valores!$C$2,2)</f>
        <v>0</v>
      </c>
      <c r="M253" s="113">
        <f>ROUND(IF($H$2=0,IF(AND(A253&lt;&gt;"13-930",A253&lt;&gt;"13-940"),(SUM(F253,H253,J253,L253,W253,S253,Q253)*Valores!$C$4),0),0),2)</f>
        <v>36808.99</v>
      </c>
      <c r="N253" s="113">
        <f t="shared" si="36"/>
        <v>0</v>
      </c>
      <c r="O253" s="113">
        <f>Valores!C$65*B253</f>
        <v>93119.18</v>
      </c>
      <c r="P253" s="113">
        <f>ROUND(IF((Valores!$E$5*B253)&lt;=Valores!$F$5,Valores!$E$5*B253,Valores!$F$5),2)</f>
        <v>46665.22</v>
      </c>
      <c r="Q253" s="113">
        <f>IF($F$4="NO",Valores!$C$28*B253,Valores!$C$28*B253/2)</f>
        <v>24458.559999999998</v>
      </c>
      <c r="R253" s="113">
        <f>Valores!$C$7*B253</f>
        <v>14603.960000000001</v>
      </c>
      <c r="S253" s="113">
        <f t="shared" si="41"/>
        <v>14603.96</v>
      </c>
      <c r="T253" s="113">
        <v>0</v>
      </c>
      <c r="U253" s="113">
        <v>0</v>
      </c>
      <c r="V253" s="169">
        <v>0</v>
      </c>
      <c r="W253" s="113">
        <f>ROUND(V253*Valores!$C$2,2)</f>
        <v>0</v>
      </c>
      <c r="X253" s="113">
        <v>0</v>
      </c>
      <c r="Y253" s="188">
        <v>0</v>
      </c>
      <c r="Z253" s="113">
        <f t="shared" si="37"/>
        <v>0</v>
      </c>
      <c r="AA253" s="169">
        <v>0</v>
      </c>
      <c r="AB253" s="113">
        <f>ROUND(AA253*Valores!$C$2,2)</f>
        <v>0</v>
      </c>
      <c r="AC253" s="113">
        <f>ROUND(IF($F$4="NO",Valores!$C$33*B253,Valores!$C$33*B253/2),2)</f>
        <v>21819.25</v>
      </c>
      <c r="AD253" s="113">
        <f>SUM(F253,H253,J253,L253,M253,N253,O253,P253,Q253,S253,T253,U253,W253,X253,Z253,AB253,AC253)*Valores!$C$58</f>
        <v>34564.86</v>
      </c>
      <c r="AE253" s="113">
        <f t="shared" si="38"/>
        <v>380213.45999999996</v>
      </c>
      <c r="AF253" s="113">
        <f>IF(Valores!$C$13*B253&gt;Valores!$F$13,Valores!$F$13,Valores!$C$13*B253)</f>
        <v>33999.466666666667</v>
      </c>
      <c r="AG253" s="113">
        <f>IF((Valores!$C$59/20*B253)&gt;Valores!$C$59,Valores!$C$59,Valores!$C$59/20*B253)</f>
        <v>17500</v>
      </c>
      <c r="AH253" s="113">
        <f t="shared" si="34"/>
        <v>51499.466666666667</v>
      </c>
      <c r="AI253" s="113">
        <f>AE253*Valores!$C$39</f>
        <v>-41823.480599999995</v>
      </c>
      <c r="AJ253" s="113">
        <f>IF(AE253&lt;Valores!$E$40,-0.02,IF(AE253&lt;Valores!$F$40,-0.03,-0.04))*AE253</f>
        <v>-7604.2691999999997</v>
      </c>
      <c r="AK253" s="113">
        <f>AE253*Valores!$C$42</f>
        <v>-20911.740299999998</v>
      </c>
      <c r="AL253" s="113">
        <f>Valores!$C$56</f>
        <v>-1270.1600000000001</v>
      </c>
      <c r="AM253" s="113">
        <f>IF($F$5=0,Valores!$C$57,(Valores!$C$57+$F$5*(Valores!$C$57)))</f>
        <v>-7026</v>
      </c>
      <c r="AN253" s="113">
        <f t="shared" si="39"/>
        <v>353077.27656666667</v>
      </c>
      <c r="AO253" s="113">
        <f t="shared" si="33"/>
        <v>-41823.480599999995</v>
      </c>
      <c r="AP253" s="113">
        <f t="shared" si="40"/>
        <v>-7604.2691999999997</v>
      </c>
      <c r="AQ253" s="113">
        <f>AE253*Valores!$C$43</f>
        <v>-10265.763419999999</v>
      </c>
      <c r="AR253" s="113">
        <f>AE253*Valores!$C$44</f>
        <v>-1140.6403799999998</v>
      </c>
      <c r="AS253" s="113">
        <f t="shared" si="35"/>
        <v>370878.77306666668</v>
      </c>
      <c r="AT253" s="113">
        <f>AE253*Valores!$C$46</f>
        <v>60834.153599999998</v>
      </c>
      <c r="AU253" s="113">
        <f>AE253*Valores!$C$47</f>
        <v>26614.942200000001</v>
      </c>
      <c r="AV253" s="113">
        <f>AE253*Valores!$C$48</f>
        <v>3802.1345999999999</v>
      </c>
      <c r="AW253" s="113">
        <f>AE253*Valores!$C$50</f>
        <v>13307.471100000001</v>
      </c>
      <c r="AX253" s="113">
        <f>AE253*Valores!$C$52</f>
        <v>20531.526839999999</v>
      </c>
      <c r="AY253" s="113">
        <f>AE253*Valores!$C$51</f>
        <v>2281.2807599999996</v>
      </c>
      <c r="AZ253" s="114"/>
      <c r="BA253" s="114">
        <f t="shared" si="42"/>
        <v>14</v>
      </c>
      <c r="BB253" s="111" t="s">
        <v>4</v>
      </c>
    </row>
    <row r="254" spans="1:54" s="100" customFormat="1" ht="11.25" customHeight="1" x14ac:dyDescent="0.15">
      <c r="A254" s="111" t="s">
        <v>433</v>
      </c>
      <c r="B254" s="111">
        <v>14</v>
      </c>
      <c r="C254" s="114">
        <v>247</v>
      </c>
      <c r="D254" s="112" t="str">
        <f>CONCATENATE("Hora Cátedra Enseñanza Media ",B254," hs Esc Esp")</f>
        <v>Hora Cátedra Enseñanza Media 14 hs Esc Esp</v>
      </c>
      <c r="E254" s="169">
        <v>1106</v>
      </c>
      <c r="F254" s="113">
        <f>ROUND(E254*Valores!$C$2,2)</f>
        <v>108173.44</v>
      </c>
      <c r="G254" s="169">
        <v>0</v>
      </c>
      <c r="H254" s="113">
        <f>ROUND(G254*Valores!$C$2,2)</f>
        <v>0</v>
      </c>
      <c r="I254" s="169">
        <v>0</v>
      </c>
      <c r="J254" s="113">
        <f>ROUND(I254*Valores!$C$2,2)</f>
        <v>0</v>
      </c>
      <c r="K254" s="169">
        <v>0</v>
      </c>
      <c r="L254" s="113">
        <f>ROUND(K254*Valores!$C$2,2)</f>
        <v>0</v>
      </c>
      <c r="M254" s="113">
        <f>ROUND(IF($H$2=0,IF(AND(A254&lt;&gt;"13-930",A254&lt;&gt;"13-940"),(SUM(F254,H254,J254,L254,W254,S254,Q254)*Valores!$C$4),0),0),2)</f>
        <v>36808.99</v>
      </c>
      <c r="N254" s="113">
        <f t="shared" si="36"/>
        <v>0</v>
      </c>
      <c r="O254" s="113">
        <f>Valores!C$65*B254</f>
        <v>93119.18</v>
      </c>
      <c r="P254" s="113">
        <f>ROUND(IF((Valores!$E$5*B254)&lt;=Valores!$F$5,Valores!$E$5*B254,Valores!$F$5),2)</f>
        <v>46665.22</v>
      </c>
      <c r="Q254" s="113">
        <f>IF($F$4="NO",Valores!$C$28*B254,Valores!$C$28*B254/2)</f>
        <v>24458.559999999998</v>
      </c>
      <c r="R254" s="113">
        <f>Valores!$C$7*B254</f>
        <v>14603.960000000001</v>
      </c>
      <c r="S254" s="113">
        <f t="shared" si="41"/>
        <v>14603.96</v>
      </c>
      <c r="T254" s="113">
        <v>0</v>
      </c>
      <c r="U254" s="113">
        <v>0</v>
      </c>
      <c r="V254" s="169">
        <v>0</v>
      </c>
      <c r="W254" s="113">
        <f>ROUND(V254*Valores!$C$2,2)</f>
        <v>0</v>
      </c>
      <c r="X254" s="113">
        <v>0</v>
      </c>
      <c r="Y254" s="188">
        <v>0</v>
      </c>
      <c r="Z254" s="113">
        <f t="shared" si="37"/>
        <v>0</v>
      </c>
      <c r="AA254" s="169">
        <v>94</v>
      </c>
      <c r="AB254" s="113">
        <f>ROUND(AA254*Valores!$C$2,2)</f>
        <v>9193.76</v>
      </c>
      <c r="AC254" s="113">
        <f>ROUND(IF($F$4="NO",Valores!$C$33*B254,Valores!$C$33*B254/2),2)</f>
        <v>21819.25</v>
      </c>
      <c r="AD254" s="113">
        <f>SUM(F254,H254,J254,L254,M254,N254,O254,P254,Q254,S254,T254,U254,W254,X254,Z254,AB254,AC254)*Valores!$C$58</f>
        <v>35484.235999999997</v>
      </c>
      <c r="AE254" s="113">
        <f t="shared" si="38"/>
        <v>390326.59599999996</v>
      </c>
      <c r="AF254" s="113">
        <f>IF(Valores!$C$13*B254&gt;Valores!$F$13,Valores!$F$13,Valores!$C$13*B254)</f>
        <v>33999.466666666667</v>
      </c>
      <c r="AG254" s="113">
        <f>IF((Valores!$C$59/20*B254)&gt;Valores!$C$59,Valores!$C$59,Valores!$C$59/20*B254)</f>
        <v>17500</v>
      </c>
      <c r="AH254" s="113">
        <f t="shared" si="34"/>
        <v>51499.466666666667</v>
      </c>
      <c r="AI254" s="113">
        <f>AE254*Valores!$C$39</f>
        <v>-42935.925559999996</v>
      </c>
      <c r="AJ254" s="113">
        <f>IF(AE254&lt;Valores!$E$40,-0.02,IF(AE254&lt;Valores!$F$40,-0.03,-0.04))*AE254</f>
        <v>-7806.5319199999994</v>
      </c>
      <c r="AK254" s="113">
        <f>AE254*Valores!$C$42</f>
        <v>-21467.962779999998</v>
      </c>
      <c r="AL254" s="113">
        <f>Valores!$C$56</f>
        <v>-1270.1600000000001</v>
      </c>
      <c r="AM254" s="113">
        <f>IF($F$5=0,Valores!$C$57,(Valores!$C$57+$F$5*(Valores!$C$57)))</f>
        <v>-7026</v>
      </c>
      <c r="AN254" s="113">
        <f t="shared" si="39"/>
        <v>361319.48240666662</v>
      </c>
      <c r="AO254" s="113">
        <f t="shared" si="33"/>
        <v>-42935.925559999996</v>
      </c>
      <c r="AP254" s="113">
        <f t="shared" si="40"/>
        <v>-7806.5319199999994</v>
      </c>
      <c r="AQ254" s="113">
        <f>AE254*Valores!$C$43</f>
        <v>-10538.818092</v>
      </c>
      <c r="AR254" s="113">
        <f>AE254*Valores!$C$44</f>
        <v>-1170.9797879999999</v>
      </c>
      <c r="AS254" s="113">
        <f t="shared" si="35"/>
        <v>379373.80730666663</v>
      </c>
      <c r="AT254" s="113">
        <f>AE254*Valores!$C$46</f>
        <v>62452.255359999996</v>
      </c>
      <c r="AU254" s="113">
        <f>AE254*Valores!$C$47</f>
        <v>27322.861720000001</v>
      </c>
      <c r="AV254" s="113">
        <f>AE254*Valores!$C$48</f>
        <v>3903.2659599999997</v>
      </c>
      <c r="AW254" s="113">
        <f>AE254*Valores!$C$50</f>
        <v>13661.43086</v>
      </c>
      <c r="AX254" s="113">
        <f>AE254*Valores!$C$52</f>
        <v>21077.636183999999</v>
      </c>
      <c r="AY254" s="113">
        <f>AE254*Valores!$C$51</f>
        <v>2341.9595759999997</v>
      </c>
      <c r="AZ254" s="114"/>
      <c r="BA254" s="114">
        <f t="shared" si="42"/>
        <v>14</v>
      </c>
      <c r="BB254" s="111" t="s">
        <v>4</v>
      </c>
    </row>
    <row r="255" spans="1:54" s="100" customFormat="1" ht="11.25" customHeight="1" x14ac:dyDescent="0.15">
      <c r="A255" s="111" t="s">
        <v>433</v>
      </c>
      <c r="B255" s="111">
        <v>15</v>
      </c>
      <c r="C255" s="114">
        <v>248</v>
      </c>
      <c r="D255" s="112" t="str">
        <f>CONCATENATE("Hora Cátedra Enseñanza Media ",B255," hs")</f>
        <v>Hora Cátedra Enseñanza Media 15 hs</v>
      </c>
      <c r="E255" s="169">
        <v>1185</v>
      </c>
      <c r="F255" s="113">
        <f>ROUND(E255*Valores!$C$2,2)</f>
        <v>115900.11</v>
      </c>
      <c r="G255" s="169">
        <v>0</v>
      </c>
      <c r="H255" s="113">
        <f>ROUND(G255*Valores!$C$2,2)</f>
        <v>0</v>
      </c>
      <c r="I255" s="169">
        <v>0</v>
      </c>
      <c r="J255" s="113">
        <f>ROUND(I255*Valores!$C$2,2)</f>
        <v>0</v>
      </c>
      <c r="K255" s="169">
        <v>0</v>
      </c>
      <c r="L255" s="113">
        <f>ROUND(K255*Valores!$C$2,2)</f>
        <v>0</v>
      </c>
      <c r="M255" s="113">
        <f>ROUND(IF($H$2=0,IF(AND(A255&lt;&gt;"13-930",A255&lt;&gt;"13-940"),(SUM(F255,H255,J255,L255,W255,S255,Q255)*Valores!$C$4),0),0),2)</f>
        <v>39438.199999999997</v>
      </c>
      <c r="N255" s="113">
        <f t="shared" si="36"/>
        <v>0</v>
      </c>
      <c r="O255" s="113">
        <f>Valores!C$65*B255</f>
        <v>99770.55</v>
      </c>
      <c r="P255" s="113">
        <f>ROUND(IF((Valores!$E$5*B255)&lt;=Valores!$F$5,Valores!$E$5*B255,Valores!$F$5),2)</f>
        <v>49998.45</v>
      </c>
      <c r="Q255" s="113">
        <f>IF($F$4="NO",Valores!$C$28*B255,Valores!$C$28*B255/2)</f>
        <v>26205.599999999999</v>
      </c>
      <c r="R255" s="113">
        <f>Valores!$C$7*B255</f>
        <v>15647.100000000002</v>
      </c>
      <c r="S255" s="113">
        <f t="shared" si="41"/>
        <v>15647.1</v>
      </c>
      <c r="T255" s="113">
        <v>0</v>
      </c>
      <c r="U255" s="113">
        <v>0</v>
      </c>
      <c r="V255" s="169">
        <v>0</v>
      </c>
      <c r="W255" s="113">
        <f>ROUND(V255*Valores!$C$2,2)</f>
        <v>0</v>
      </c>
      <c r="X255" s="113">
        <v>0</v>
      </c>
      <c r="Y255" s="188">
        <v>0</v>
      </c>
      <c r="Z255" s="113">
        <f t="shared" si="37"/>
        <v>0</v>
      </c>
      <c r="AA255" s="169">
        <v>0</v>
      </c>
      <c r="AB255" s="113">
        <f>ROUND(AA255*Valores!$C$2,2)</f>
        <v>0</v>
      </c>
      <c r="AC255" s="113">
        <f>ROUND(IF($F$4="NO",Valores!$C$33*B255,Valores!$C$33*B255/2),2)</f>
        <v>23377.77</v>
      </c>
      <c r="AD255" s="113">
        <f>SUM(F255,H255,J255,L255,M255,N255,O255,P255,Q255,S255,T255,U255,W255,X255,Z255,AB255,AC255)*Valores!$C$58</f>
        <v>37033.777999999998</v>
      </c>
      <c r="AE255" s="113">
        <f t="shared" si="38"/>
        <v>407371.55799999996</v>
      </c>
      <c r="AF255" s="113">
        <f>IF(Valores!$C$13*B255&gt;Valores!$F$13,Valores!$F$13,Valores!$C$13*B255)</f>
        <v>36428</v>
      </c>
      <c r="AG255" s="113">
        <f>IF((Valores!$C$59/20*B255)&gt;Valores!$C$59,Valores!$C$59,Valores!$C$59/20*B255)</f>
        <v>18750</v>
      </c>
      <c r="AH255" s="113">
        <f t="shared" si="34"/>
        <v>55178</v>
      </c>
      <c r="AI255" s="113">
        <f>AE255*Valores!$C$39</f>
        <v>-44810.871379999997</v>
      </c>
      <c r="AJ255" s="113">
        <f>IF(AE255&lt;Valores!$E$40,-0.02,IF(AE255&lt;Valores!$F$40,-0.03,-0.04))*AE255</f>
        <v>-8147.4311599999992</v>
      </c>
      <c r="AK255" s="113">
        <f>AE255*Valores!$C$42</f>
        <v>-22405.435689999998</v>
      </c>
      <c r="AL255" s="113">
        <f>Valores!$C$56</f>
        <v>-1270.1600000000001</v>
      </c>
      <c r="AM255" s="113">
        <f>IF($F$5=0,Valores!$C$57,(Valores!$C$57+$F$5*(Valores!$C$57)))</f>
        <v>-7026</v>
      </c>
      <c r="AN255" s="113">
        <f t="shared" si="39"/>
        <v>378889.65976999997</v>
      </c>
      <c r="AO255" s="113">
        <f t="shared" si="33"/>
        <v>-44810.871379999997</v>
      </c>
      <c r="AP255" s="113">
        <f t="shared" si="40"/>
        <v>-8147.4311599999992</v>
      </c>
      <c r="AQ255" s="113">
        <f>AE255*Valores!$C$43</f>
        <v>-10999.032065999998</v>
      </c>
      <c r="AR255" s="113">
        <f>AE255*Valores!$C$44</f>
        <v>-1222.1146739999999</v>
      </c>
      <c r="AS255" s="113">
        <f t="shared" si="35"/>
        <v>397370.10871999996</v>
      </c>
      <c r="AT255" s="113">
        <f>AE255*Valores!$C$46</f>
        <v>65179.449279999993</v>
      </c>
      <c r="AU255" s="113">
        <f>AE255*Valores!$C$47</f>
        <v>28516.00906</v>
      </c>
      <c r="AV255" s="113">
        <f>AE255*Valores!$C$48</f>
        <v>4073.7155799999996</v>
      </c>
      <c r="AW255" s="113">
        <f>AE255*Valores!$C$50</f>
        <v>14258.00453</v>
      </c>
      <c r="AX255" s="113">
        <f>AE255*Valores!$C$52</f>
        <v>21998.064131999996</v>
      </c>
      <c r="AY255" s="113">
        <f>AE255*Valores!$C$51</f>
        <v>2444.2293479999998</v>
      </c>
      <c r="AZ255" s="114"/>
      <c r="BA255" s="114">
        <f t="shared" ref="BA255:BA286" si="43">1*B255</f>
        <v>15</v>
      </c>
      <c r="BB255" s="111" t="s">
        <v>4</v>
      </c>
    </row>
    <row r="256" spans="1:54" s="100" customFormat="1" ht="11.25" customHeight="1" x14ac:dyDescent="0.15">
      <c r="A256" s="111" t="s">
        <v>433</v>
      </c>
      <c r="B256" s="111">
        <v>15</v>
      </c>
      <c r="C256" s="114">
        <v>249</v>
      </c>
      <c r="D256" s="112" t="str">
        <f>CONCATENATE("Hora Cátedra Enseñanza Media ",B256," hs Esc Esp")</f>
        <v>Hora Cátedra Enseñanza Media 15 hs Esc Esp</v>
      </c>
      <c r="E256" s="169">
        <v>1185</v>
      </c>
      <c r="F256" s="113">
        <f>ROUND(E256*Valores!$C$2,2)</f>
        <v>115900.11</v>
      </c>
      <c r="G256" s="169">
        <v>0</v>
      </c>
      <c r="H256" s="113">
        <f>ROUND(G256*Valores!$C$2,2)</f>
        <v>0</v>
      </c>
      <c r="I256" s="169">
        <v>0</v>
      </c>
      <c r="J256" s="113">
        <f>ROUND(I256*Valores!$C$2,2)</f>
        <v>0</v>
      </c>
      <c r="K256" s="169">
        <v>0</v>
      </c>
      <c r="L256" s="113">
        <f>ROUND(K256*Valores!$C$2,2)</f>
        <v>0</v>
      </c>
      <c r="M256" s="113">
        <f>ROUND(IF($H$2=0,IF(AND(A256&lt;&gt;"13-930",A256&lt;&gt;"13-940"),(SUM(F256,H256,J256,L256,W256,S256,Q256)*Valores!$C$4),0),0),2)</f>
        <v>39438.199999999997</v>
      </c>
      <c r="N256" s="113">
        <f t="shared" si="36"/>
        <v>0</v>
      </c>
      <c r="O256" s="113">
        <f>Valores!C$65*B256</f>
        <v>99770.55</v>
      </c>
      <c r="P256" s="113">
        <f>ROUND(IF((Valores!$E$5*B256)&lt;=Valores!$F$5,Valores!$E$5*B256,Valores!$F$5),2)</f>
        <v>49998.45</v>
      </c>
      <c r="Q256" s="113">
        <f>IF($F$4="NO",Valores!$C$28*B256,Valores!$C$28*B256/2)</f>
        <v>26205.599999999999</v>
      </c>
      <c r="R256" s="113">
        <f>Valores!$C$7*B256</f>
        <v>15647.100000000002</v>
      </c>
      <c r="S256" s="113">
        <f t="shared" si="41"/>
        <v>15647.1</v>
      </c>
      <c r="T256" s="113">
        <v>0</v>
      </c>
      <c r="U256" s="113">
        <v>0</v>
      </c>
      <c r="V256" s="169">
        <v>0</v>
      </c>
      <c r="W256" s="113">
        <f>ROUND(V256*Valores!$C$2,2)</f>
        <v>0</v>
      </c>
      <c r="X256" s="113">
        <v>0</v>
      </c>
      <c r="Y256" s="188">
        <v>0</v>
      </c>
      <c r="Z256" s="113">
        <f t="shared" si="37"/>
        <v>0</v>
      </c>
      <c r="AA256" s="169">
        <v>94</v>
      </c>
      <c r="AB256" s="113">
        <f>ROUND(AA256*Valores!$C$2,2)</f>
        <v>9193.76</v>
      </c>
      <c r="AC256" s="113">
        <f>ROUND(IF($F$4="NO",Valores!$C$33*B256,Valores!$C$33*B256/2),2)</f>
        <v>23377.77</v>
      </c>
      <c r="AD256" s="113">
        <f>SUM(F256,H256,J256,L256,M256,N256,O256,P256,Q256,S256,T256,U256,W256,X256,Z256,AB256,AC256)*Valores!$C$58</f>
        <v>37953.154000000002</v>
      </c>
      <c r="AE256" s="113">
        <f t="shared" si="38"/>
        <v>417484.69399999996</v>
      </c>
      <c r="AF256" s="113">
        <f>IF(Valores!$C$13*B256&gt;Valores!$F$13,Valores!$F$13,Valores!$C$13*B256)</f>
        <v>36428</v>
      </c>
      <c r="AG256" s="113">
        <f>IF((Valores!$C$59/20*B256)&gt;Valores!$C$59,Valores!$C$59,Valores!$C$59/20*B256)</f>
        <v>18750</v>
      </c>
      <c r="AH256" s="113">
        <f t="shared" si="34"/>
        <v>55178</v>
      </c>
      <c r="AI256" s="113">
        <f>AE256*Valores!$C$39</f>
        <v>-45923.316339999998</v>
      </c>
      <c r="AJ256" s="113">
        <f>IF(AE256&lt;Valores!$E$40,-0.02,IF(AE256&lt;Valores!$F$40,-0.03,-0.04))*AE256</f>
        <v>-8349.6938799999989</v>
      </c>
      <c r="AK256" s="113">
        <f>AE256*Valores!$C$42</f>
        <v>-22961.658169999999</v>
      </c>
      <c r="AL256" s="113">
        <f>Valores!$C$56</f>
        <v>-1270.1600000000001</v>
      </c>
      <c r="AM256" s="113">
        <f>IF($F$5=0,Valores!$C$57,(Valores!$C$57+$F$5*(Valores!$C$57)))</f>
        <v>-7026</v>
      </c>
      <c r="AN256" s="113">
        <f t="shared" si="39"/>
        <v>387131.86560999998</v>
      </c>
      <c r="AO256" s="113">
        <f t="shared" si="33"/>
        <v>-45923.316339999998</v>
      </c>
      <c r="AP256" s="113">
        <f t="shared" si="40"/>
        <v>-8349.6938799999989</v>
      </c>
      <c r="AQ256" s="113">
        <f>AE256*Valores!$C$43</f>
        <v>-11272.086737999998</v>
      </c>
      <c r="AR256" s="113">
        <f>AE256*Valores!$C$44</f>
        <v>-1252.454082</v>
      </c>
      <c r="AS256" s="113">
        <f t="shared" si="35"/>
        <v>405865.14295999997</v>
      </c>
      <c r="AT256" s="113">
        <f>AE256*Valores!$C$46</f>
        <v>66797.551039999991</v>
      </c>
      <c r="AU256" s="113">
        <f>AE256*Valores!$C$47</f>
        <v>29223.92858</v>
      </c>
      <c r="AV256" s="113">
        <f>AE256*Valores!$C$48</f>
        <v>4174.8469399999994</v>
      </c>
      <c r="AW256" s="113">
        <f>AE256*Valores!$C$50</f>
        <v>14611.96429</v>
      </c>
      <c r="AX256" s="113">
        <f>AE256*Valores!$C$52</f>
        <v>22544.173475999996</v>
      </c>
      <c r="AY256" s="113">
        <f>AE256*Valores!$C$51</f>
        <v>2504.9081639999999</v>
      </c>
      <c r="AZ256" s="114"/>
      <c r="BA256" s="114">
        <f t="shared" si="43"/>
        <v>15</v>
      </c>
      <c r="BB256" s="111" t="s">
        <v>4</v>
      </c>
    </row>
    <row r="257" spans="1:54" s="100" customFormat="1" ht="11.25" customHeight="1" x14ac:dyDescent="0.15">
      <c r="A257" s="111" t="s">
        <v>433</v>
      </c>
      <c r="B257" s="111">
        <v>16</v>
      </c>
      <c r="C257" s="114">
        <v>250</v>
      </c>
      <c r="D257" s="112" t="str">
        <f>CONCATENATE("Hora Cátedra Enseñanza Media ",B257," hs")</f>
        <v>Hora Cátedra Enseñanza Media 16 hs</v>
      </c>
      <c r="E257" s="169">
        <v>1264</v>
      </c>
      <c r="F257" s="113">
        <f>ROUND(E257*Valores!$C$2,2)</f>
        <v>123626.78</v>
      </c>
      <c r="G257" s="169">
        <v>0</v>
      </c>
      <c r="H257" s="113">
        <f>ROUND(G257*Valores!$C$2,2)</f>
        <v>0</v>
      </c>
      <c r="I257" s="169">
        <v>0</v>
      </c>
      <c r="J257" s="113">
        <f>ROUND(I257*Valores!$C$2,2)</f>
        <v>0</v>
      </c>
      <c r="K257" s="169">
        <v>0</v>
      </c>
      <c r="L257" s="113">
        <f>ROUND(K257*Valores!$C$2,2)</f>
        <v>0</v>
      </c>
      <c r="M257" s="113">
        <f>ROUND(IF($H$2=0,IF(AND(A257&lt;&gt;"13-930",A257&lt;&gt;"13-940"),(SUM(F257,H257,J257,L257,W257,S257,Q257)*Valores!$C$4),0),0),2)</f>
        <v>42067.42</v>
      </c>
      <c r="N257" s="113">
        <f t="shared" si="36"/>
        <v>0</v>
      </c>
      <c r="O257" s="113">
        <f>Valores!C$65*B257</f>
        <v>106421.92</v>
      </c>
      <c r="P257" s="113">
        <f>ROUND(IF((Valores!$E$5*B257)&lt;=Valores!$F$5,Valores!$E$5*B257,Valores!$F$5),2)</f>
        <v>53331.68</v>
      </c>
      <c r="Q257" s="113">
        <f>IF($F$4="NO",Valores!$C$28*B257,Valores!$C$28*B257/2)</f>
        <v>27952.639999999999</v>
      </c>
      <c r="R257" s="113">
        <f>Valores!$C$7*B257</f>
        <v>16690.240000000002</v>
      </c>
      <c r="S257" s="113">
        <f t="shared" si="41"/>
        <v>16690.240000000002</v>
      </c>
      <c r="T257" s="113">
        <v>0</v>
      </c>
      <c r="U257" s="113">
        <v>0</v>
      </c>
      <c r="V257" s="169">
        <v>0</v>
      </c>
      <c r="W257" s="113">
        <f>ROUND(V257*Valores!$C$2,2)</f>
        <v>0</v>
      </c>
      <c r="X257" s="113">
        <v>0</v>
      </c>
      <c r="Y257" s="188">
        <v>0</v>
      </c>
      <c r="Z257" s="113">
        <f t="shared" si="37"/>
        <v>0</v>
      </c>
      <c r="AA257" s="169">
        <v>0</v>
      </c>
      <c r="AB257" s="113">
        <f>ROUND(AA257*Valores!$C$2,2)</f>
        <v>0</v>
      </c>
      <c r="AC257" s="113">
        <f>ROUND(IF($F$4="NO",Valores!$C$33*B257,Valores!$C$33*B257/2),2)</f>
        <v>24936.29</v>
      </c>
      <c r="AD257" s="113">
        <f>SUM(F257,H257,J257,L257,M257,N257,O257,P257,Q257,S257,T257,U257,W257,X257,Z257,AB257,AC257)*Valores!$C$58</f>
        <v>39502.697</v>
      </c>
      <c r="AE257" s="113">
        <f t="shared" si="38"/>
        <v>434529.66699999996</v>
      </c>
      <c r="AF257" s="113">
        <f>IF(Valores!$C$13*B257&gt;Valores!$F$13,Valores!$F$13,Valores!$C$13*B257)</f>
        <v>38856.533333333333</v>
      </c>
      <c r="AG257" s="113">
        <f>IF((Valores!$C$59/20*B257)&gt;Valores!$C$59,Valores!$C$59,Valores!$C$59/20*B257)</f>
        <v>20000</v>
      </c>
      <c r="AH257" s="113">
        <f t="shared" si="34"/>
        <v>58856.533333333333</v>
      </c>
      <c r="AI257" s="113">
        <f>AE257*Valores!$C$39</f>
        <v>-47798.263369999993</v>
      </c>
      <c r="AJ257" s="113">
        <f>IF(AE257&lt;Valores!$E$40,-0.02,IF(AE257&lt;Valores!$F$40,-0.03,-0.04))*AE257</f>
        <v>-8690.5933399999994</v>
      </c>
      <c r="AK257" s="113">
        <f>AE257*Valores!$C$42</f>
        <v>-23899.131684999997</v>
      </c>
      <c r="AL257" s="113">
        <f>Valores!$C$56</f>
        <v>-1270.1600000000001</v>
      </c>
      <c r="AM257" s="113">
        <f>IF($F$5=0,Valores!$C$57,(Valores!$C$57+$F$5*(Valores!$C$57)))</f>
        <v>-7026</v>
      </c>
      <c r="AN257" s="113">
        <f t="shared" si="39"/>
        <v>404702.05193833332</v>
      </c>
      <c r="AO257" s="113">
        <f t="shared" si="33"/>
        <v>-47798.263369999993</v>
      </c>
      <c r="AP257" s="113">
        <f t="shared" si="40"/>
        <v>-8690.5933399999994</v>
      </c>
      <c r="AQ257" s="113">
        <f>AE257*Valores!$C$43</f>
        <v>-11732.301008999999</v>
      </c>
      <c r="AR257" s="113">
        <f>AE257*Valores!$C$44</f>
        <v>-1303.5890009999998</v>
      </c>
      <c r="AS257" s="113">
        <f t="shared" si="35"/>
        <v>423861.45361333329</v>
      </c>
      <c r="AT257" s="113">
        <f>AE257*Valores!$C$46</f>
        <v>69524.746719999996</v>
      </c>
      <c r="AU257" s="113">
        <f>AE257*Valores!$C$47</f>
        <v>30417.076690000002</v>
      </c>
      <c r="AV257" s="113">
        <f>AE257*Valores!$C$48</f>
        <v>4345.2966699999997</v>
      </c>
      <c r="AW257" s="113">
        <f>AE257*Valores!$C$50</f>
        <v>15208.538345000001</v>
      </c>
      <c r="AX257" s="113">
        <f>AE257*Valores!$C$52</f>
        <v>23464.602017999998</v>
      </c>
      <c r="AY257" s="113">
        <f>AE257*Valores!$C$51</f>
        <v>2607.1780019999997</v>
      </c>
      <c r="AZ257" s="114"/>
      <c r="BA257" s="114">
        <f t="shared" si="43"/>
        <v>16</v>
      </c>
      <c r="BB257" s="111" t="s">
        <v>4</v>
      </c>
    </row>
    <row r="258" spans="1:54" s="100" customFormat="1" ht="11.25" customHeight="1" x14ac:dyDescent="0.15">
      <c r="A258" s="111" t="s">
        <v>433</v>
      </c>
      <c r="B258" s="111">
        <v>16</v>
      </c>
      <c r="C258" s="114">
        <v>251</v>
      </c>
      <c r="D258" s="112" t="str">
        <f>CONCATENATE("Hora Cátedra Enseñanza Media ",B258," hs Esc Esp")</f>
        <v>Hora Cátedra Enseñanza Media 16 hs Esc Esp</v>
      </c>
      <c r="E258" s="169">
        <v>1264</v>
      </c>
      <c r="F258" s="113">
        <f>ROUND(E258*Valores!$C$2,2)</f>
        <v>123626.78</v>
      </c>
      <c r="G258" s="169">
        <v>0</v>
      </c>
      <c r="H258" s="113">
        <f>ROUND(G258*Valores!$C$2,2)</f>
        <v>0</v>
      </c>
      <c r="I258" s="169">
        <v>0</v>
      </c>
      <c r="J258" s="113">
        <f>ROUND(I258*Valores!$C$2,2)</f>
        <v>0</v>
      </c>
      <c r="K258" s="169">
        <v>0</v>
      </c>
      <c r="L258" s="113">
        <f>ROUND(K258*Valores!$C$2,2)</f>
        <v>0</v>
      </c>
      <c r="M258" s="113">
        <f>ROUND(IF($H$2=0,IF(AND(A258&lt;&gt;"13-930",A258&lt;&gt;"13-940"),(SUM(F258,H258,J258,L258,W258,S258,Q258)*Valores!$C$4),0),0),2)</f>
        <v>42067.42</v>
      </c>
      <c r="N258" s="113">
        <f t="shared" si="36"/>
        <v>0</v>
      </c>
      <c r="O258" s="113">
        <f>Valores!C$65*B258</f>
        <v>106421.92</v>
      </c>
      <c r="P258" s="113">
        <f>ROUND(IF((Valores!$E$5*B258)&lt;=Valores!$F$5,Valores!$E$5*B258,Valores!$F$5),2)</f>
        <v>53331.68</v>
      </c>
      <c r="Q258" s="113">
        <f>IF($F$4="NO",Valores!$C$28*B258,Valores!$C$28*B258/2)</f>
        <v>27952.639999999999</v>
      </c>
      <c r="R258" s="113">
        <f>Valores!$C$7*B258</f>
        <v>16690.240000000002</v>
      </c>
      <c r="S258" s="113">
        <f t="shared" si="41"/>
        <v>16690.240000000002</v>
      </c>
      <c r="T258" s="113">
        <v>0</v>
      </c>
      <c r="U258" s="113">
        <v>0</v>
      </c>
      <c r="V258" s="169">
        <v>0</v>
      </c>
      <c r="W258" s="113">
        <f>ROUND(V258*Valores!$C$2,2)</f>
        <v>0</v>
      </c>
      <c r="X258" s="113">
        <v>0</v>
      </c>
      <c r="Y258" s="188">
        <v>0</v>
      </c>
      <c r="Z258" s="113">
        <f t="shared" si="37"/>
        <v>0</v>
      </c>
      <c r="AA258" s="169">
        <v>94</v>
      </c>
      <c r="AB258" s="113">
        <f>ROUND(AA258*Valores!$C$2,2)</f>
        <v>9193.76</v>
      </c>
      <c r="AC258" s="113">
        <f>ROUND(IF($F$4="NO",Valores!$C$33*B258,Valores!$C$33*B258/2),2)</f>
        <v>24936.29</v>
      </c>
      <c r="AD258" s="113">
        <f>SUM(F258,H258,J258,L258,M258,N258,O258,P258,Q258,S258,T258,U258,W258,X258,Z258,AB258,AC258)*Valores!$C$58</f>
        <v>40422.073000000004</v>
      </c>
      <c r="AE258" s="113">
        <f t="shared" si="38"/>
        <v>444642.80299999996</v>
      </c>
      <c r="AF258" s="113">
        <f>IF(Valores!$C$13*B258&gt;Valores!$F$13,Valores!$F$13,Valores!$C$13*B258)</f>
        <v>38856.533333333333</v>
      </c>
      <c r="AG258" s="113">
        <f>IF((Valores!$C$59/20*B258)&gt;Valores!$C$59,Valores!$C$59,Valores!$C$59/20*B258)</f>
        <v>20000</v>
      </c>
      <c r="AH258" s="113">
        <f t="shared" si="34"/>
        <v>58856.533333333333</v>
      </c>
      <c r="AI258" s="113">
        <f>AE258*Valores!$C$39</f>
        <v>-48910.708329999994</v>
      </c>
      <c r="AJ258" s="113">
        <f>IF(AE258&lt;Valores!$E$40,-0.02,IF(AE258&lt;Valores!$F$40,-0.03,-0.04))*AE258</f>
        <v>-8892.8560600000001</v>
      </c>
      <c r="AK258" s="113">
        <f>AE258*Valores!$C$42</f>
        <v>-24455.354164999997</v>
      </c>
      <c r="AL258" s="113">
        <f>Valores!$C$56</f>
        <v>-1270.1600000000001</v>
      </c>
      <c r="AM258" s="113">
        <f>IF($F$5=0,Valores!$C$57,(Valores!$C$57+$F$5*(Valores!$C$57)))</f>
        <v>-7026</v>
      </c>
      <c r="AN258" s="113">
        <f t="shared" si="39"/>
        <v>412944.25777833333</v>
      </c>
      <c r="AO258" s="113">
        <f t="shared" si="33"/>
        <v>-48910.708329999994</v>
      </c>
      <c r="AP258" s="113">
        <f t="shared" si="40"/>
        <v>-8892.8560600000001</v>
      </c>
      <c r="AQ258" s="113">
        <f>AE258*Valores!$C$43</f>
        <v>-12005.355680999999</v>
      </c>
      <c r="AR258" s="113">
        <f>AE258*Valores!$C$44</f>
        <v>-1333.9284089999999</v>
      </c>
      <c r="AS258" s="113">
        <f t="shared" si="35"/>
        <v>432356.4878533333</v>
      </c>
      <c r="AT258" s="113">
        <f>AE258*Valores!$C$46</f>
        <v>71142.848480000001</v>
      </c>
      <c r="AU258" s="113">
        <f>AE258*Valores!$C$47</f>
        <v>31124.996210000001</v>
      </c>
      <c r="AV258" s="113">
        <f>AE258*Valores!$C$48</f>
        <v>4446.42803</v>
      </c>
      <c r="AW258" s="113">
        <f>AE258*Valores!$C$50</f>
        <v>15562.498105000001</v>
      </c>
      <c r="AX258" s="113">
        <f>AE258*Valores!$C$52</f>
        <v>24010.711361999998</v>
      </c>
      <c r="AY258" s="113">
        <f>AE258*Valores!$C$51</f>
        <v>2667.8568179999997</v>
      </c>
      <c r="AZ258" s="114"/>
      <c r="BA258" s="114">
        <f t="shared" si="43"/>
        <v>16</v>
      </c>
      <c r="BB258" s="111" t="s">
        <v>4</v>
      </c>
    </row>
    <row r="259" spans="1:54" s="100" customFormat="1" ht="11.25" customHeight="1" x14ac:dyDescent="0.15">
      <c r="A259" s="111" t="s">
        <v>433</v>
      </c>
      <c r="B259" s="111">
        <v>17</v>
      </c>
      <c r="C259" s="114">
        <v>252</v>
      </c>
      <c r="D259" s="112" t="str">
        <f>CONCATENATE("Hora Cátedra Enseñanza Media ",B259," hs")</f>
        <v>Hora Cátedra Enseñanza Media 17 hs</v>
      </c>
      <c r="E259" s="169">
        <v>1343</v>
      </c>
      <c r="F259" s="113">
        <f>ROUND(E259*Valores!$C$2,2)</f>
        <v>131353.46</v>
      </c>
      <c r="G259" s="169">
        <v>0</v>
      </c>
      <c r="H259" s="113">
        <f>ROUND(G259*Valores!$C$2,2)</f>
        <v>0</v>
      </c>
      <c r="I259" s="169">
        <v>0</v>
      </c>
      <c r="J259" s="113">
        <f>ROUND(I259*Valores!$C$2,2)</f>
        <v>0</v>
      </c>
      <c r="K259" s="169">
        <v>0</v>
      </c>
      <c r="L259" s="113">
        <f>ROUND(K259*Valores!$C$2,2)</f>
        <v>0</v>
      </c>
      <c r="M259" s="113">
        <f>ROUND(IF($H$2=0,IF(AND(A259&lt;&gt;"13-930",A259&lt;&gt;"13-940"),(SUM(F259,H259,J259,L259,W259,S259,Q259)*Valores!$C$4),0),0),2)</f>
        <v>44696.63</v>
      </c>
      <c r="N259" s="113">
        <f t="shared" si="36"/>
        <v>0</v>
      </c>
      <c r="O259" s="113">
        <f>Valores!C$65*B259</f>
        <v>113073.29</v>
      </c>
      <c r="P259" s="113">
        <f>ROUND(IF((Valores!$E$5*B259)&lt;=Valores!$F$5,Valores!$E$5*B259,Valores!$F$5),2)</f>
        <v>56664.91</v>
      </c>
      <c r="Q259" s="113">
        <f>IF($F$4="NO",Valores!$C$28*B259,Valores!$C$28*B259/2)</f>
        <v>29699.68</v>
      </c>
      <c r="R259" s="113">
        <f>Valores!$C$7*B259</f>
        <v>17733.38</v>
      </c>
      <c r="S259" s="113">
        <f t="shared" si="41"/>
        <v>17733.38</v>
      </c>
      <c r="T259" s="113">
        <v>0</v>
      </c>
      <c r="U259" s="113">
        <v>0</v>
      </c>
      <c r="V259" s="169">
        <v>0</v>
      </c>
      <c r="W259" s="113">
        <f>ROUND(V259*Valores!$C$2,2)</f>
        <v>0</v>
      </c>
      <c r="X259" s="113">
        <v>0</v>
      </c>
      <c r="Y259" s="188">
        <v>0</v>
      </c>
      <c r="Z259" s="113">
        <f t="shared" si="37"/>
        <v>0</v>
      </c>
      <c r="AA259" s="169">
        <v>0</v>
      </c>
      <c r="AB259" s="113">
        <f>ROUND(AA259*Valores!$C$2,2)</f>
        <v>0</v>
      </c>
      <c r="AC259" s="113">
        <f>ROUND(IF($F$4="NO",Valores!$C$33*B259,Valores!$C$33*B259/2),2)</f>
        <v>26494.81</v>
      </c>
      <c r="AD259" s="113">
        <f>SUM(F259,H259,J259,L259,M259,N259,O259,P259,Q259,S259,T259,U259,W259,X259,Z259,AB259,AC259)*Valores!$C$58</f>
        <v>41971.616000000009</v>
      </c>
      <c r="AE259" s="113">
        <f t="shared" si="38"/>
        <v>461687.77600000007</v>
      </c>
      <c r="AF259" s="113">
        <f>IF(Valores!$C$13*B259&gt;Valores!$F$13,Valores!$F$13,Valores!$C$13*B259)</f>
        <v>41285.066666666666</v>
      </c>
      <c r="AG259" s="113">
        <f>IF((Valores!$C$59/20*B259)&gt;Valores!$C$59,Valores!$C$59,Valores!$C$59/20*B259)</f>
        <v>21250</v>
      </c>
      <c r="AH259" s="113">
        <f t="shared" si="34"/>
        <v>62535.066666666666</v>
      </c>
      <c r="AI259" s="113">
        <f>AE259*Valores!$C$39</f>
        <v>-50785.655360000012</v>
      </c>
      <c r="AJ259" s="113">
        <f>IF(AE259&lt;Valores!$E$40,-0.02,IF(AE259&lt;Valores!$F$40,-0.03,-0.04))*AE259</f>
        <v>-9233.7555200000024</v>
      </c>
      <c r="AK259" s="113">
        <f>AE259*Valores!$C$42</f>
        <v>-25392.827680000006</v>
      </c>
      <c r="AL259" s="113">
        <f>Valores!$C$56</f>
        <v>-1270.1600000000001</v>
      </c>
      <c r="AM259" s="113">
        <f>IF($F$5=0,Valores!$C$57,(Valores!$C$57+$F$5*(Valores!$C$57)))</f>
        <v>-7026</v>
      </c>
      <c r="AN259" s="113">
        <f t="shared" si="39"/>
        <v>430514.44410666672</v>
      </c>
      <c r="AO259" s="113">
        <f t="shared" si="33"/>
        <v>-50785.655360000012</v>
      </c>
      <c r="AP259" s="113">
        <f t="shared" si="40"/>
        <v>-9233.7555200000024</v>
      </c>
      <c r="AQ259" s="113">
        <f>AE259*Valores!$C$43</f>
        <v>-12465.569952000002</v>
      </c>
      <c r="AR259" s="113">
        <f>AE259*Valores!$C$44</f>
        <v>-1385.0633280000002</v>
      </c>
      <c r="AS259" s="113">
        <f t="shared" si="35"/>
        <v>450352.79850666667</v>
      </c>
      <c r="AT259" s="113">
        <f>AE259*Valores!$C$46</f>
        <v>73870.044160000019</v>
      </c>
      <c r="AU259" s="113">
        <f>AE259*Valores!$C$47</f>
        <v>32318.144320000007</v>
      </c>
      <c r="AV259" s="113">
        <f>AE259*Valores!$C$48</f>
        <v>4616.8777600000012</v>
      </c>
      <c r="AW259" s="113">
        <f>AE259*Valores!$C$50</f>
        <v>16159.072160000003</v>
      </c>
      <c r="AX259" s="113">
        <f>AE259*Valores!$C$52</f>
        <v>24931.139904000003</v>
      </c>
      <c r="AY259" s="113">
        <f>AE259*Valores!$C$51</f>
        <v>2770.1266560000004</v>
      </c>
      <c r="AZ259" s="114"/>
      <c r="BA259" s="114">
        <f t="shared" si="43"/>
        <v>17</v>
      </c>
      <c r="BB259" s="111" t="s">
        <v>4</v>
      </c>
    </row>
    <row r="260" spans="1:54" s="100" customFormat="1" ht="11.25" customHeight="1" x14ac:dyDescent="0.15">
      <c r="A260" s="111" t="s">
        <v>433</v>
      </c>
      <c r="B260" s="111">
        <v>17</v>
      </c>
      <c r="C260" s="114">
        <v>253</v>
      </c>
      <c r="D260" s="112" t="str">
        <f>CONCATENATE("Hora Cátedra Enseñanza Media ",B260," hs Esc Esp")</f>
        <v>Hora Cátedra Enseñanza Media 17 hs Esc Esp</v>
      </c>
      <c r="E260" s="169">
        <v>1343</v>
      </c>
      <c r="F260" s="113">
        <f>ROUND(E260*Valores!$C$2,2)</f>
        <v>131353.46</v>
      </c>
      <c r="G260" s="169">
        <v>0</v>
      </c>
      <c r="H260" s="113">
        <f>ROUND(G260*Valores!$C$2,2)</f>
        <v>0</v>
      </c>
      <c r="I260" s="169">
        <v>0</v>
      </c>
      <c r="J260" s="113">
        <f>ROUND(I260*Valores!$C$2,2)</f>
        <v>0</v>
      </c>
      <c r="K260" s="169">
        <v>0</v>
      </c>
      <c r="L260" s="113">
        <f>ROUND(K260*Valores!$C$2,2)</f>
        <v>0</v>
      </c>
      <c r="M260" s="113">
        <f>ROUND(IF($H$2=0,IF(AND(A260&lt;&gt;"13-930",A260&lt;&gt;"13-940"),(SUM(F260,H260,J260,L260,W260,S260,Q260)*Valores!$C$4),0),0),2)</f>
        <v>44696.63</v>
      </c>
      <c r="N260" s="113">
        <f t="shared" si="36"/>
        <v>0</v>
      </c>
      <c r="O260" s="113">
        <f>Valores!C$65*B260</f>
        <v>113073.29</v>
      </c>
      <c r="P260" s="113">
        <f>ROUND(IF((Valores!$E$5*B260)&lt;=Valores!$F$5,Valores!$E$5*B260,Valores!$F$5),2)</f>
        <v>56664.91</v>
      </c>
      <c r="Q260" s="113">
        <f>IF($F$4="NO",Valores!$C$28*B260,Valores!$C$28*B260/2)</f>
        <v>29699.68</v>
      </c>
      <c r="R260" s="113">
        <f>Valores!$C$7*B260</f>
        <v>17733.38</v>
      </c>
      <c r="S260" s="113">
        <f t="shared" si="41"/>
        <v>17733.38</v>
      </c>
      <c r="T260" s="113">
        <v>0</v>
      </c>
      <c r="U260" s="113">
        <v>0</v>
      </c>
      <c r="V260" s="169">
        <v>0</v>
      </c>
      <c r="W260" s="113">
        <f>ROUND(V260*Valores!$C$2,2)</f>
        <v>0</v>
      </c>
      <c r="X260" s="113">
        <v>0</v>
      </c>
      <c r="Y260" s="188">
        <v>0</v>
      </c>
      <c r="Z260" s="113">
        <f t="shared" si="37"/>
        <v>0</v>
      </c>
      <c r="AA260" s="169">
        <v>94</v>
      </c>
      <c r="AB260" s="113">
        <f>ROUND(AA260*Valores!$C$2,2)</f>
        <v>9193.76</v>
      </c>
      <c r="AC260" s="113">
        <f>ROUND(IF($F$4="NO",Valores!$C$33*B260,Valores!$C$33*B260/2),2)</f>
        <v>26494.81</v>
      </c>
      <c r="AD260" s="113">
        <f>SUM(F260,H260,J260,L260,M260,N260,O260,P260,Q260,S260,T260,U260,W260,X260,Z260,AB260,AC260)*Valores!$C$58</f>
        <v>42890.992000000006</v>
      </c>
      <c r="AE260" s="113">
        <f t="shared" si="38"/>
        <v>471800.91200000007</v>
      </c>
      <c r="AF260" s="113">
        <f>IF(Valores!$C$13*B260&gt;Valores!$F$13,Valores!$F$13,Valores!$C$13*B260)</f>
        <v>41285.066666666666</v>
      </c>
      <c r="AG260" s="113">
        <f>IF((Valores!$C$59/20*B260)&gt;Valores!$C$59,Valores!$C$59,Valores!$C$59/20*B260)</f>
        <v>21250</v>
      </c>
      <c r="AH260" s="113">
        <f t="shared" si="34"/>
        <v>62535.066666666666</v>
      </c>
      <c r="AI260" s="113">
        <f>AE260*Valores!$C$39</f>
        <v>-51898.100320000005</v>
      </c>
      <c r="AJ260" s="113">
        <f>IF(AE260&lt;Valores!$E$40,-0.02,IF(AE260&lt;Valores!$F$40,-0.03,-0.04))*AE260</f>
        <v>-9436.0182400000012</v>
      </c>
      <c r="AK260" s="113">
        <f>AE260*Valores!$C$42</f>
        <v>-25949.050160000003</v>
      </c>
      <c r="AL260" s="113">
        <f>Valores!$C$56</f>
        <v>-1270.1600000000001</v>
      </c>
      <c r="AM260" s="113">
        <f>IF($F$5=0,Valores!$C$57,(Valores!$C$57+$F$5*(Valores!$C$57)))</f>
        <v>-7026</v>
      </c>
      <c r="AN260" s="113">
        <f t="shared" si="39"/>
        <v>438756.64994666673</v>
      </c>
      <c r="AO260" s="113">
        <f t="shared" si="33"/>
        <v>-51898.100320000005</v>
      </c>
      <c r="AP260" s="113">
        <f t="shared" si="40"/>
        <v>-9436.0182400000012</v>
      </c>
      <c r="AQ260" s="113">
        <f>AE260*Valores!$C$43</f>
        <v>-12738.624624000002</v>
      </c>
      <c r="AR260" s="113">
        <f>AE260*Valores!$C$44</f>
        <v>-1415.4027360000002</v>
      </c>
      <c r="AS260" s="113">
        <f t="shared" si="35"/>
        <v>458847.83274666674</v>
      </c>
      <c r="AT260" s="113">
        <f>AE260*Valores!$C$46</f>
        <v>75488.14592000001</v>
      </c>
      <c r="AU260" s="113">
        <f>AE260*Valores!$C$47</f>
        <v>33026.06384000001</v>
      </c>
      <c r="AV260" s="113">
        <f>AE260*Valores!$C$48</f>
        <v>4718.0091200000006</v>
      </c>
      <c r="AW260" s="113">
        <f>AE260*Valores!$C$50</f>
        <v>16513.031920000005</v>
      </c>
      <c r="AX260" s="113">
        <f>AE260*Valores!$C$52</f>
        <v>25477.249248000004</v>
      </c>
      <c r="AY260" s="113">
        <f>AE260*Valores!$C$51</f>
        <v>2830.8054720000005</v>
      </c>
      <c r="AZ260" s="114"/>
      <c r="BA260" s="114">
        <f t="shared" si="43"/>
        <v>17</v>
      </c>
      <c r="BB260" s="111" t="s">
        <v>4</v>
      </c>
    </row>
    <row r="261" spans="1:54" s="100" customFormat="1" ht="11.25" customHeight="1" x14ac:dyDescent="0.15">
      <c r="A261" s="111" t="s">
        <v>433</v>
      </c>
      <c r="B261" s="111">
        <v>18</v>
      </c>
      <c r="C261" s="114">
        <v>254</v>
      </c>
      <c r="D261" s="112" t="str">
        <f>CONCATENATE("Hora Cátedra Enseñanza Media ",B261," hs")</f>
        <v>Hora Cátedra Enseñanza Media 18 hs</v>
      </c>
      <c r="E261" s="169">
        <v>1422</v>
      </c>
      <c r="F261" s="113">
        <f>ROUND(E261*Valores!$C$2,2)</f>
        <v>139080.13</v>
      </c>
      <c r="G261" s="169">
        <v>0</v>
      </c>
      <c r="H261" s="113">
        <f>ROUND(G261*Valores!$C$2,2)</f>
        <v>0</v>
      </c>
      <c r="I261" s="169">
        <v>0</v>
      </c>
      <c r="J261" s="113">
        <f>ROUND(I261*Valores!$C$2,2)</f>
        <v>0</v>
      </c>
      <c r="K261" s="169">
        <v>0</v>
      </c>
      <c r="L261" s="113">
        <f>ROUND(K261*Valores!$C$2,2)</f>
        <v>0</v>
      </c>
      <c r="M261" s="113">
        <f>ROUND(IF($H$2=0,IF(AND(A261&lt;&gt;"13-930",A261&lt;&gt;"13-940"),(SUM(F261,H261,J261,L261,W261,S261,Q261)*Valores!$C$4),0),0),2)</f>
        <v>47325.84</v>
      </c>
      <c r="N261" s="113">
        <f t="shared" si="36"/>
        <v>0</v>
      </c>
      <c r="O261" s="113">
        <f>Valores!C$65*B261</f>
        <v>119724.66</v>
      </c>
      <c r="P261" s="113">
        <f>ROUND(IF((Valores!$E$5*B261)&lt;=Valores!$F$5,Valores!$E$5*B261,Valores!$F$5),2)</f>
        <v>59998.14</v>
      </c>
      <c r="Q261" s="113">
        <f>IF($F$4="NO",Valores!$C$28*B261,Valores!$C$28*B261/2)</f>
        <v>31446.720000000001</v>
      </c>
      <c r="R261" s="113">
        <f>Valores!$C$7*B261</f>
        <v>18776.52</v>
      </c>
      <c r="S261" s="113">
        <f t="shared" si="41"/>
        <v>18776.52</v>
      </c>
      <c r="T261" s="113">
        <v>0</v>
      </c>
      <c r="U261" s="113">
        <v>0</v>
      </c>
      <c r="V261" s="169">
        <v>0</v>
      </c>
      <c r="W261" s="113">
        <f>ROUND(V261*Valores!$C$2,2)</f>
        <v>0</v>
      </c>
      <c r="X261" s="113">
        <v>0</v>
      </c>
      <c r="Y261" s="188">
        <v>0</v>
      </c>
      <c r="Z261" s="113">
        <f t="shared" si="37"/>
        <v>0</v>
      </c>
      <c r="AA261" s="169">
        <v>0</v>
      </c>
      <c r="AB261" s="113">
        <f>ROUND(AA261*Valores!$C$2,2)</f>
        <v>0</v>
      </c>
      <c r="AC261" s="113">
        <f>ROUND(IF($F$4="NO",Valores!$C$33*B261,Valores!$C$33*B261/2),2)</f>
        <v>28053.32</v>
      </c>
      <c r="AD261" s="113">
        <f>SUM(F261,H261,J261,L261,M261,N261,O261,P261,Q261,S261,T261,U261,W261,X261,Z261,AB261,AC261)*Valores!$C$58</f>
        <v>44440.533000000003</v>
      </c>
      <c r="AE261" s="113">
        <f t="shared" si="38"/>
        <v>488845.86300000001</v>
      </c>
      <c r="AF261" s="113">
        <f>IF(Valores!$C$13*B261&gt;Valores!$F$13,Valores!$F$13,Valores!$C$13*B261)</f>
        <v>43713.599999999999</v>
      </c>
      <c r="AG261" s="113">
        <f>IF((Valores!$C$59/20*B261)&gt;Valores!$C$59,Valores!$C$59,Valores!$C$59/20*B261)</f>
        <v>22500</v>
      </c>
      <c r="AH261" s="113">
        <f t="shared" si="34"/>
        <v>66213.600000000006</v>
      </c>
      <c r="AI261" s="113">
        <f>AE261*Valores!$C$39</f>
        <v>-53773.044930000004</v>
      </c>
      <c r="AJ261" s="113">
        <f>IF(AE261&lt;Valores!$E$40,-0.02,IF(AE261&lt;Valores!$F$40,-0.03,-0.04))*AE261</f>
        <v>-9776.9172600000002</v>
      </c>
      <c r="AK261" s="113">
        <f>AE261*Valores!$C$42</f>
        <v>-26886.522465000002</v>
      </c>
      <c r="AL261" s="113">
        <f>Valores!$C$56</f>
        <v>-1270.1600000000001</v>
      </c>
      <c r="AM261" s="113">
        <f>IF($F$5=0,Valores!$C$57,(Valores!$C$57+$F$5*(Valores!$C$57)))</f>
        <v>-7026</v>
      </c>
      <c r="AN261" s="113">
        <f t="shared" si="39"/>
        <v>456326.81834500004</v>
      </c>
      <c r="AO261" s="113">
        <f t="shared" ref="AO261:AO325" si="44">AI261</f>
        <v>-53773.044930000004</v>
      </c>
      <c r="AP261" s="113">
        <f t="shared" si="40"/>
        <v>-9776.9172600000002</v>
      </c>
      <c r="AQ261" s="113">
        <f>AE261*Valores!$C$43</f>
        <v>-13198.838301</v>
      </c>
      <c r="AR261" s="113">
        <f>AE261*Valores!$C$44</f>
        <v>-1466.537589</v>
      </c>
      <c r="AS261" s="113">
        <f t="shared" si="35"/>
        <v>476844.12491999997</v>
      </c>
      <c r="AT261" s="113">
        <f>AE261*Valores!$C$46</f>
        <v>78215.338080000001</v>
      </c>
      <c r="AU261" s="113">
        <f>AE261*Valores!$C$47</f>
        <v>34219.210410000007</v>
      </c>
      <c r="AV261" s="113">
        <f>AE261*Valores!$C$48</f>
        <v>4888.4586300000001</v>
      </c>
      <c r="AW261" s="113">
        <f>AE261*Valores!$C$50</f>
        <v>17109.605205000003</v>
      </c>
      <c r="AX261" s="113">
        <f>AE261*Valores!$C$52</f>
        <v>26397.676602</v>
      </c>
      <c r="AY261" s="113">
        <f>AE261*Valores!$C$51</f>
        <v>2933.0751780000001</v>
      </c>
      <c r="AZ261" s="114"/>
      <c r="BA261" s="114">
        <f t="shared" si="43"/>
        <v>18</v>
      </c>
      <c r="BB261" s="111" t="s">
        <v>4</v>
      </c>
    </row>
    <row r="262" spans="1:54" s="100" customFormat="1" ht="11.25" customHeight="1" x14ac:dyDescent="0.15">
      <c r="A262" s="111" t="s">
        <v>433</v>
      </c>
      <c r="B262" s="111">
        <v>18</v>
      </c>
      <c r="C262" s="114">
        <v>255</v>
      </c>
      <c r="D262" s="112" t="str">
        <f>CONCATENATE("Hora Cátedra Enseñanza Media ",B262," hs Esc Esp")</f>
        <v>Hora Cátedra Enseñanza Media 18 hs Esc Esp</v>
      </c>
      <c r="E262" s="169">
        <v>1422</v>
      </c>
      <c r="F262" s="113">
        <f>ROUND(E262*Valores!$C$2,2)</f>
        <v>139080.13</v>
      </c>
      <c r="G262" s="169">
        <v>0</v>
      </c>
      <c r="H262" s="113">
        <f>ROUND(G262*Valores!$C$2,2)</f>
        <v>0</v>
      </c>
      <c r="I262" s="169">
        <v>0</v>
      </c>
      <c r="J262" s="113">
        <f>ROUND(I262*Valores!$C$2,2)</f>
        <v>0</v>
      </c>
      <c r="K262" s="169">
        <v>0</v>
      </c>
      <c r="L262" s="113">
        <f>ROUND(K262*Valores!$C$2,2)</f>
        <v>0</v>
      </c>
      <c r="M262" s="113">
        <f>ROUND(IF($H$2=0,IF(AND(A262&lt;&gt;"13-930",A262&lt;&gt;"13-940"),(SUM(F262,H262,J262,L262,W262,S262,Q262)*Valores!$C$4),0),0),2)</f>
        <v>47325.84</v>
      </c>
      <c r="N262" s="113">
        <f t="shared" si="36"/>
        <v>0</v>
      </c>
      <c r="O262" s="113">
        <f>Valores!C$65*B262</f>
        <v>119724.66</v>
      </c>
      <c r="P262" s="113">
        <f>ROUND(IF((Valores!$E$5*B262)&lt;=Valores!$F$5,Valores!$E$5*B262,Valores!$F$5),2)</f>
        <v>59998.14</v>
      </c>
      <c r="Q262" s="113">
        <f>IF($F$4="NO",Valores!$C$28*B262,Valores!$C$28*B262/2)</f>
        <v>31446.720000000001</v>
      </c>
      <c r="R262" s="113">
        <f>Valores!$C$7*B262</f>
        <v>18776.52</v>
      </c>
      <c r="S262" s="113">
        <f t="shared" si="41"/>
        <v>18776.52</v>
      </c>
      <c r="T262" s="113">
        <v>0</v>
      </c>
      <c r="U262" s="113">
        <v>0</v>
      </c>
      <c r="V262" s="169">
        <v>0</v>
      </c>
      <c r="W262" s="113">
        <f>ROUND(V262*Valores!$C$2,2)</f>
        <v>0</v>
      </c>
      <c r="X262" s="113">
        <v>0</v>
      </c>
      <c r="Y262" s="188">
        <v>0</v>
      </c>
      <c r="Z262" s="113">
        <f t="shared" si="37"/>
        <v>0</v>
      </c>
      <c r="AA262" s="169">
        <v>94</v>
      </c>
      <c r="AB262" s="113">
        <f>ROUND(AA262*Valores!$C$2,2)</f>
        <v>9193.76</v>
      </c>
      <c r="AC262" s="113">
        <f>ROUND(IF($F$4="NO",Valores!$C$33*B262,Valores!$C$33*B262/2),2)</f>
        <v>28053.32</v>
      </c>
      <c r="AD262" s="113">
        <f>SUM(F262,H262,J262,L262,M262,N262,O262,P262,Q262,S262,T262,U262,W262,X262,Z262,AB262,AC262)*Valores!$C$58</f>
        <v>45359.909000000007</v>
      </c>
      <c r="AE262" s="113">
        <f t="shared" si="38"/>
        <v>498958.99900000001</v>
      </c>
      <c r="AF262" s="113">
        <f>IF(Valores!$C$13*B262&gt;Valores!$F$13,Valores!$F$13,Valores!$C$13*B262)</f>
        <v>43713.599999999999</v>
      </c>
      <c r="AG262" s="113">
        <f>IF((Valores!$C$59/20*B262)&gt;Valores!$C$59,Valores!$C$59,Valores!$C$59/20*B262)</f>
        <v>22500</v>
      </c>
      <c r="AH262" s="113">
        <f t="shared" si="34"/>
        <v>66213.600000000006</v>
      </c>
      <c r="AI262" s="113">
        <f>AE262*Valores!$C$39</f>
        <v>-54885.489890000004</v>
      </c>
      <c r="AJ262" s="113">
        <f>IF(AE262&lt;Valores!$E$40,-0.02,IF(AE262&lt;Valores!$F$40,-0.03,-0.04))*AE262</f>
        <v>-9979.1799800000008</v>
      </c>
      <c r="AK262" s="113">
        <f>AE262*Valores!$C$42</f>
        <v>-27442.744945000002</v>
      </c>
      <c r="AL262" s="113">
        <f>Valores!$C$56</f>
        <v>-1270.1600000000001</v>
      </c>
      <c r="AM262" s="113">
        <f>IF($F$5=0,Valores!$C$57,(Valores!$C$57+$F$5*(Valores!$C$57)))</f>
        <v>-7026</v>
      </c>
      <c r="AN262" s="113">
        <f t="shared" si="39"/>
        <v>464569.02418499999</v>
      </c>
      <c r="AO262" s="113">
        <f t="shared" si="44"/>
        <v>-54885.489890000004</v>
      </c>
      <c r="AP262" s="113">
        <f t="shared" si="40"/>
        <v>-9979.1799800000008</v>
      </c>
      <c r="AQ262" s="113">
        <f>AE262*Valores!$C$43</f>
        <v>-13471.892973</v>
      </c>
      <c r="AR262" s="113">
        <f>AE262*Valores!$C$44</f>
        <v>-1496.8769970000001</v>
      </c>
      <c r="AS262" s="113">
        <f t="shared" si="35"/>
        <v>485339.15916000004</v>
      </c>
      <c r="AT262" s="113">
        <f>AE262*Valores!$C$46</f>
        <v>79833.439840000006</v>
      </c>
      <c r="AU262" s="113">
        <f>AE262*Valores!$C$47</f>
        <v>34927.129930000003</v>
      </c>
      <c r="AV262" s="113">
        <f>AE262*Valores!$C$48</f>
        <v>4989.5899900000004</v>
      </c>
      <c r="AW262" s="113">
        <f>AE262*Valores!$C$50</f>
        <v>17463.564965000001</v>
      </c>
      <c r="AX262" s="113">
        <f>AE262*Valores!$C$52</f>
        <v>26943.785946</v>
      </c>
      <c r="AY262" s="113">
        <f>AE262*Valores!$C$51</f>
        <v>2993.7539940000001</v>
      </c>
      <c r="AZ262" s="114"/>
      <c r="BA262" s="114">
        <f t="shared" si="43"/>
        <v>18</v>
      </c>
      <c r="BB262" s="111" t="s">
        <v>4</v>
      </c>
    </row>
    <row r="263" spans="1:54" s="100" customFormat="1" ht="11.25" customHeight="1" x14ac:dyDescent="0.15">
      <c r="A263" s="111" t="s">
        <v>433</v>
      </c>
      <c r="B263" s="111">
        <v>19</v>
      </c>
      <c r="C263" s="114">
        <v>256</v>
      </c>
      <c r="D263" s="112" t="str">
        <f>CONCATENATE("Hora Cátedra Enseñanza Media ",B263," hs")</f>
        <v>Hora Cátedra Enseñanza Media 19 hs</v>
      </c>
      <c r="E263" s="169">
        <v>1501</v>
      </c>
      <c r="F263" s="113">
        <f>ROUND(E263*Valores!$C$2,2)</f>
        <v>146806.81</v>
      </c>
      <c r="G263" s="169">
        <v>0</v>
      </c>
      <c r="H263" s="113">
        <f>ROUND(G263*Valores!$C$2,2)</f>
        <v>0</v>
      </c>
      <c r="I263" s="169">
        <v>0</v>
      </c>
      <c r="J263" s="113">
        <f>ROUND(I263*Valores!$C$2,2)</f>
        <v>0</v>
      </c>
      <c r="K263" s="169">
        <v>0</v>
      </c>
      <c r="L263" s="113">
        <f>ROUND(K263*Valores!$C$2,2)</f>
        <v>0</v>
      </c>
      <c r="M263" s="113">
        <f>ROUND(IF($H$2=0,IF(AND(A263&lt;&gt;"13-930",A263&lt;&gt;"13-940"),(SUM(F263,H263,J263,L263,W263,S263,Q263)*Valores!$C$4),0),0),2)</f>
        <v>49955.06</v>
      </c>
      <c r="N263" s="113">
        <f t="shared" si="36"/>
        <v>0</v>
      </c>
      <c r="O263" s="113">
        <f>Valores!C$65*B263</f>
        <v>126376.03</v>
      </c>
      <c r="P263" s="113">
        <f>ROUND(IF((Valores!$E$5*B263)&lt;=Valores!$F$5,Valores!$E$5*B263,Valores!$F$5),2)</f>
        <v>63331.37</v>
      </c>
      <c r="Q263" s="113">
        <f>IF($F$4="NO",Valores!$C$28*B263,Valores!$C$28*B263/2)</f>
        <v>33193.760000000002</v>
      </c>
      <c r="R263" s="113">
        <f>Valores!$C$7*B263</f>
        <v>19819.660000000003</v>
      </c>
      <c r="S263" s="113">
        <f t="shared" si="41"/>
        <v>19819.66</v>
      </c>
      <c r="T263" s="113">
        <v>0</v>
      </c>
      <c r="U263" s="113">
        <v>0</v>
      </c>
      <c r="V263" s="169">
        <v>0</v>
      </c>
      <c r="W263" s="113">
        <f>ROUND(V263*Valores!$C$2,2)</f>
        <v>0</v>
      </c>
      <c r="X263" s="113">
        <v>0</v>
      </c>
      <c r="Y263" s="188">
        <v>0</v>
      </c>
      <c r="Z263" s="113">
        <f t="shared" si="37"/>
        <v>0</v>
      </c>
      <c r="AA263" s="169">
        <v>0</v>
      </c>
      <c r="AB263" s="113">
        <f>ROUND(AA263*Valores!$C$2,2)</f>
        <v>0</v>
      </c>
      <c r="AC263" s="113">
        <f>ROUND(IF($F$4="NO",Valores!$C$33*B263,Valores!$C$33*B263/2),2)</f>
        <v>29611.84</v>
      </c>
      <c r="AD263" s="113">
        <f>SUM(F263,H263,J263,L263,M263,N263,O263,P263,Q263,S263,T263,U263,W263,X263,Z263,AB263,AC263)*Valores!$C$58</f>
        <v>46909.453000000009</v>
      </c>
      <c r="AE263" s="113">
        <f t="shared" si="38"/>
        <v>516003.98300000001</v>
      </c>
      <c r="AF263" s="113">
        <f>IF(Valores!$C$13*B263&gt;Valores!$F$13,Valores!$F$13,Valores!$C$13*B263)</f>
        <v>46142.133333333331</v>
      </c>
      <c r="AG263" s="113">
        <f>IF((Valores!$C$59/20*B263)&gt;Valores!$C$59,Valores!$C$59,Valores!$C$59/20*B263)</f>
        <v>23750</v>
      </c>
      <c r="AH263" s="113">
        <f t="shared" si="34"/>
        <v>69892.133333333331</v>
      </c>
      <c r="AI263" s="113">
        <f>AE263*Valores!$C$39</f>
        <v>-56760.438130000002</v>
      </c>
      <c r="AJ263" s="113">
        <f>IF(AE263&lt;Valores!$E$40,-0.02,IF(AE263&lt;Valores!$F$40,-0.03,-0.04))*AE263</f>
        <v>-10320.079660000001</v>
      </c>
      <c r="AK263" s="113">
        <f>AE263*Valores!$C$42</f>
        <v>-28380.219065000001</v>
      </c>
      <c r="AL263" s="113">
        <f>Valores!$C$56</f>
        <v>-1270.1600000000001</v>
      </c>
      <c r="AM263" s="113">
        <f>IF($F$5=0,Valores!$C$57,(Valores!$C$57+$F$5*(Valores!$C$57)))</f>
        <v>-7026</v>
      </c>
      <c r="AN263" s="113">
        <f t="shared" si="39"/>
        <v>482139.21947833337</v>
      </c>
      <c r="AO263" s="113">
        <f t="shared" si="44"/>
        <v>-56760.438130000002</v>
      </c>
      <c r="AP263" s="113">
        <f t="shared" si="40"/>
        <v>-10320.079660000001</v>
      </c>
      <c r="AQ263" s="113">
        <f>AE263*Valores!$C$43</f>
        <v>-13932.107540999999</v>
      </c>
      <c r="AR263" s="113">
        <f>AE263*Valores!$C$44</f>
        <v>-1548.011949</v>
      </c>
      <c r="AS263" s="113">
        <f t="shared" si="35"/>
        <v>503335.47905333329</v>
      </c>
      <c r="AT263" s="113">
        <f>AE263*Valores!$C$46</f>
        <v>82560.63728000001</v>
      </c>
      <c r="AU263" s="113">
        <f>AE263*Valores!$C$47</f>
        <v>36120.278810000003</v>
      </c>
      <c r="AV263" s="113">
        <f>AE263*Valores!$C$48</f>
        <v>5160.0398300000006</v>
      </c>
      <c r="AW263" s="113">
        <f>AE263*Valores!$C$50</f>
        <v>18060.139405000002</v>
      </c>
      <c r="AX263" s="113">
        <f>AE263*Valores!$C$52</f>
        <v>27864.215081999999</v>
      </c>
      <c r="AY263" s="113">
        <f>AE263*Valores!$C$51</f>
        <v>3096.0238979999999</v>
      </c>
      <c r="AZ263" s="114"/>
      <c r="BA263" s="114">
        <f t="shared" si="43"/>
        <v>19</v>
      </c>
      <c r="BB263" s="111" t="s">
        <v>4</v>
      </c>
    </row>
    <row r="264" spans="1:54" s="100" customFormat="1" ht="11.25" customHeight="1" x14ac:dyDescent="0.15">
      <c r="A264" s="111" t="s">
        <v>433</v>
      </c>
      <c r="B264" s="111">
        <v>19</v>
      </c>
      <c r="C264" s="114">
        <v>257</v>
      </c>
      <c r="D264" s="112" t="str">
        <f>CONCATENATE("Hora Cátedra Enseñanza Media ",B264," hs Esc Esp")</f>
        <v>Hora Cátedra Enseñanza Media 19 hs Esc Esp</v>
      </c>
      <c r="E264" s="169">
        <v>1501</v>
      </c>
      <c r="F264" s="113">
        <f>ROUND(E264*Valores!$C$2,2)</f>
        <v>146806.81</v>
      </c>
      <c r="G264" s="169">
        <v>0</v>
      </c>
      <c r="H264" s="113">
        <f>ROUND(G264*Valores!$C$2,2)</f>
        <v>0</v>
      </c>
      <c r="I264" s="169">
        <v>0</v>
      </c>
      <c r="J264" s="113">
        <f>ROUND(I264*Valores!$C$2,2)</f>
        <v>0</v>
      </c>
      <c r="K264" s="169">
        <v>0</v>
      </c>
      <c r="L264" s="113">
        <f>ROUND(K264*Valores!$C$2,2)</f>
        <v>0</v>
      </c>
      <c r="M264" s="113">
        <f>ROUND(IF($H$2=0,IF(AND(A264&lt;&gt;"13-930",A264&lt;&gt;"13-940"),(SUM(F264,H264,J264,L264,W264,S264,Q264)*Valores!$C$4),0),0),2)</f>
        <v>49955.06</v>
      </c>
      <c r="N264" s="113">
        <f t="shared" si="36"/>
        <v>0</v>
      </c>
      <c r="O264" s="113">
        <f>Valores!C$65*B264</f>
        <v>126376.03</v>
      </c>
      <c r="P264" s="113">
        <f>ROUND(IF((Valores!$E$5*B264)&lt;=Valores!$F$5,Valores!$E$5*B264,Valores!$F$5),2)</f>
        <v>63331.37</v>
      </c>
      <c r="Q264" s="113">
        <f>IF($F$4="NO",Valores!$C$28*B264,Valores!$C$28*B264/2)</f>
        <v>33193.760000000002</v>
      </c>
      <c r="R264" s="113">
        <f>Valores!$C$7*B264</f>
        <v>19819.660000000003</v>
      </c>
      <c r="S264" s="113">
        <f t="shared" si="41"/>
        <v>19819.66</v>
      </c>
      <c r="T264" s="113">
        <v>0</v>
      </c>
      <c r="U264" s="113">
        <v>0</v>
      </c>
      <c r="V264" s="169">
        <v>0</v>
      </c>
      <c r="W264" s="113">
        <f>ROUND(V264*Valores!$C$2,2)</f>
        <v>0</v>
      </c>
      <c r="X264" s="113">
        <v>0</v>
      </c>
      <c r="Y264" s="188">
        <v>0</v>
      </c>
      <c r="Z264" s="113">
        <f t="shared" si="37"/>
        <v>0</v>
      </c>
      <c r="AA264" s="169">
        <v>94</v>
      </c>
      <c r="AB264" s="113">
        <f>ROUND(AA264*Valores!$C$2,2)</f>
        <v>9193.76</v>
      </c>
      <c r="AC264" s="113">
        <f>ROUND(IF($F$4="NO",Valores!$C$33*B264,Valores!$C$33*B264/2),2)</f>
        <v>29611.84</v>
      </c>
      <c r="AD264" s="113">
        <f>SUM(F264,H264,J264,L264,M264,N264,O264,P264,Q264,S264,T264,U264,W264,X264,Z264,AB264,AC264)*Valores!$C$58</f>
        <v>47828.829000000005</v>
      </c>
      <c r="AE264" s="113">
        <f t="shared" si="38"/>
        <v>526117.11900000006</v>
      </c>
      <c r="AF264" s="113">
        <f>IF(Valores!$C$13*B264&gt;Valores!$F$13,Valores!$F$13,Valores!$C$13*B264)</f>
        <v>46142.133333333331</v>
      </c>
      <c r="AG264" s="113">
        <f>IF((Valores!$C$59/20*B264)&gt;Valores!$C$59,Valores!$C$59,Valores!$C$59/20*B264)</f>
        <v>23750</v>
      </c>
      <c r="AH264" s="113">
        <f t="shared" ref="AH264:AH326" si="45">SUM(AF264:AG264)</f>
        <v>69892.133333333331</v>
      </c>
      <c r="AI264" s="113">
        <f>AE264*Valores!$C$39</f>
        <v>-57872.88309000001</v>
      </c>
      <c r="AJ264" s="113">
        <f>IF(AE264&lt;Valores!$E$40,-0.02,IF(AE264&lt;Valores!$F$40,-0.03,-0.04))*AE264</f>
        <v>-10522.342380000002</v>
      </c>
      <c r="AK264" s="113">
        <f>AE264*Valores!$C$42</f>
        <v>-28936.441545000005</v>
      </c>
      <c r="AL264" s="113">
        <f>Valores!$C$56</f>
        <v>-1270.1600000000001</v>
      </c>
      <c r="AM264" s="113">
        <f>IF($F$5=0,Valores!$C$57,(Valores!$C$57+$F$5*(Valores!$C$57)))</f>
        <v>-7026</v>
      </c>
      <c r="AN264" s="113">
        <f t="shared" si="39"/>
        <v>490381.42531833338</v>
      </c>
      <c r="AO264" s="113">
        <f t="shared" si="44"/>
        <v>-57872.88309000001</v>
      </c>
      <c r="AP264" s="113">
        <f t="shared" si="40"/>
        <v>-10522.342380000002</v>
      </c>
      <c r="AQ264" s="113">
        <f>AE264*Valores!$C$43</f>
        <v>-14205.162213000001</v>
      </c>
      <c r="AR264" s="113">
        <f>AE264*Valores!$C$44</f>
        <v>-1578.3513570000002</v>
      </c>
      <c r="AS264" s="113">
        <f t="shared" ref="AS264:AS326" si="46">AE264+AH264+SUM(AO264:AR264)</f>
        <v>511830.51329333335</v>
      </c>
      <c r="AT264" s="113">
        <f>AE264*Valores!$C$46</f>
        <v>84178.739040000015</v>
      </c>
      <c r="AU264" s="113">
        <f>AE264*Valores!$C$47</f>
        <v>36828.198330000007</v>
      </c>
      <c r="AV264" s="113">
        <f>AE264*Valores!$C$48</f>
        <v>5261.1711900000009</v>
      </c>
      <c r="AW264" s="113">
        <f>AE264*Valores!$C$50</f>
        <v>18414.099165000003</v>
      </c>
      <c r="AX264" s="113">
        <f>AE264*Valores!$C$52</f>
        <v>28410.324426000003</v>
      </c>
      <c r="AY264" s="113">
        <f>AE264*Valores!$C$51</f>
        <v>3156.7027140000005</v>
      </c>
      <c r="AZ264" s="114"/>
      <c r="BA264" s="114">
        <f t="shared" si="43"/>
        <v>19</v>
      </c>
      <c r="BB264" s="111" t="s">
        <v>4</v>
      </c>
    </row>
    <row r="265" spans="1:54" s="100" customFormat="1" ht="11.25" customHeight="1" x14ac:dyDescent="0.15">
      <c r="A265" s="111" t="s">
        <v>433</v>
      </c>
      <c r="B265" s="111">
        <v>20</v>
      </c>
      <c r="C265" s="114">
        <v>258</v>
      </c>
      <c r="D265" s="112" t="str">
        <f>CONCATENATE("Hora Cátedra Enseñanza Media ",B265," hs")</f>
        <v>Hora Cátedra Enseñanza Media 20 hs</v>
      </c>
      <c r="E265" s="169">
        <v>1580</v>
      </c>
      <c r="F265" s="113">
        <f>ROUND(E265*Valores!$C$2,2)</f>
        <v>154533.48000000001</v>
      </c>
      <c r="G265" s="169">
        <v>0</v>
      </c>
      <c r="H265" s="113">
        <f>ROUND(G265*Valores!$C$2,2)</f>
        <v>0</v>
      </c>
      <c r="I265" s="169">
        <v>0</v>
      </c>
      <c r="J265" s="113">
        <f>ROUND(I265*Valores!$C$2,2)</f>
        <v>0</v>
      </c>
      <c r="K265" s="169">
        <v>0</v>
      </c>
      <c r="L265" s="113">
        <f>ROUND(K265*Valores!$C$2,2)</f>
        <v>0</v>
      </c>
      <c r="M265" s="113">
        <f>ROUND(IF($H$2=0,IF(AND(A265&lt;&gt;"13-930",A265&lt;&gt;"13-940"),(SUM(F265,H265,J265,L265,W265,S265,Q265)*Valores!$C$4),0),0),2)</f>
        <v>52584.27</v>
      </c>
      <c r="N265" s="113">
        <f t="shared" ref="N265:N299" si="47">ROUND(SUM(F265,H265,J265,L265,W265,Q265)*$H$2,2)</f>
        <v>0</v>
      </c>
      <c r="O265" s="113">
        <f>Valores!C$65*B265</f>
        <v>133027.4</v>
      </c>
      <c r="P265" s="113">
        <f>ROUND(IF((Valores!$E$5*B265)&lt;=Valores!$F$5,Valores!$E$5*B265,Valores!$F$5),2)</f>
        <v>66664.600000000006</v>
      </c>
      <c r="Q265" s="113">
        <f>IF($F$4="NO",Valores!$C$28*B265,Valores!$C$28*B265/2)</f>
        <v>34940.800000000003</v>
      </c>
      <c r="R265" s="113">
        <f>Valores!$C$7*B265</f>
        <v>20862.800000000003</v>
      </c>
      <c r="S265" s="113">
        <f t="shared" si="41"/>
        <v>20862.8</v>
      </c>
      <c r="T265" s="113">
        <v>0</v>
      </c>
      <c r="U265" s="113">
        <v>0</v>
      </c>
      <c r="V265" s="169">
        <v>0</v>
      </c>
      <c r="W265" s="113">
        <f>ROUND(V265*Valores!$C$2,2)</f>
        <v>0</v>
      </c>
      <c r="X265" s="113">
        <v>0</v>
      </c>
      <c r="Y265" s="188">
        <v>0</v>
      </c>
      <c r="Z265" s="113">
        <f t="shared" ref="Z265:Z301" si="48">ROUND(SUM(F265,H265,J265,W265,Q265)*Y265,2)</f>
        <v>0</v>
      </c>
      <c r="AA265" s="169">
        <v>0</v>
      </c>
      <c r="AB265" s="113">
        <f>ROUND(AA265*Valores!$C$2,2)</f>
        <v>0</v>
      </c>
      <c r="AC265" s="113">
        <f>ROUND(IF($F$4="NO",Valores!$C$33*B265,Valores!$C$33*B265/2),2)</f>
        <v>31170.36</v>
      </c>
      <c r="AD265" s="113">
        <f>SUM(F265,H265,J265,L265,M265,N265,O265,P265,Q265,S265,T265,U265,W265,X265,Z265,AB265,AC265)*Valores!$C$58</f>
        <v>49378.370999999999</v>
      </c>
      <c r="AE265" s="113">
        <f t="shared" ref="AE265:AE326" si="49">SUM(F265,H265,J265,L265,M265,N265,O265,P265,Q265,S265,T265,U265,W265,X265,Z265,AB265,AC265,AD265)</f>
        <v>543162.08100000001</v>
      </c>
      <c r="AF265" s="113">
        <f>IF(Valores!$C$13*B265&gt;Valores!$F$13,Valores!$F$13,Valores!$C$13*B265)</f>
        <v>48570.666666666664</v>
      </c>
      <c r="AG265" s="113">
        <f>IF((Valores!$C$59/20*B265)&gt;Valores!$C$59,Valores!$C$59,Valores!$C$59/20*B265)</f>
        <v>25000</v>
      </c>
      <c r="AH265" s="113">
        <f t="shared" si="45"/>
        <v>73570.666666666657</v>
      </c>
      <c r="AI265" s="113">
        <f>AE265*Valores!$C$39</f>
        <v>-59747.828910000004</v>
      </c>
      <c r="AJ265" s="113">
        <f>IF(AE265&lt;Valores!$E$40,-0.02,IF(AE265&lt;Valores!$F$40,-0.03,-0.04))*AE265</f>
        <v>-10863.241620000001</v>
      </c>
      <c r="AK265" s="113">
        <f>AE265*Valores!$C$42</f>
        <v>-29873.914455000002</v>
      </c>
      <c r="AL265" s="113">
        <f>Valores!$C$56</f>
        <v>-1270.1600000000001</v>
      </c>
      <c r="AM265" s="113">
        <f>IF($F$5=0,Valores!$C$57,(Valores!$C$57+$F$5*(Valores!$C$57)))</f>
        <v>-7026</v>
      </c>
      <c r="AN265" s="113">
        <f t="shared" ref="AN265:AN326" si="50">AE265+SUM(AH265:AM265)</f>
        <v>507951.60268166667</v>
      </c>
      <c r="AO265" s="113">
        <f t="shared" si="44"/>
        <v>-59747.828910000004</v>
      </c>
      <c r="AP265" s="113">
        <f t="shared" ref="AP265:AP326" si="51">AJ265</f>
        <v>-10863.241620000001</v>
      </c>
      <c r="AQ265" s="113">
        <f>AE265*Valores!$C$43</f>
        <v>-14665.376187</v>
      </c>
      <c r="AR265" s="113">
        <f>AE265*Valores!$C$44</f>
        <v>-1629.4862430000001</v>
      </c>
      <c r="AS265" s="113">
        <f t="shared" si="46"/>
        <v>529826.81470666663</v>
      </c>
      <c r="AT265" s="113">
        <f>AE265*Valores!$C$46</f>
        <v>86905.932960000006</v>
      </c>
      <c r="AU265" s="113">
        <f>AE265*Valores!$C$47</f>
        <v>38021.345670000002</v>
      </c>
      <c r="AV265" s="113">
        <f>AE265*Valores!$C$48</f>
        <v>5431.6208100000003</v>
      </c>
      <c r="AW265" s="113">
        <f>AE265*Valores!$C$50</f>
        <v>19010.672835000001</v>
      </c>
      <c r="AX265" s="113">
        <f>AE265*Valores!$C$52</f>
        <v>29330.752374</v>
      </c>
      <c r="AY265" s="113">
        <f>AE265*Valores!$C$51</f>
        <v>3258.9724860000001</v>
      </c>
      <c r="AZ265" s="114"/>
      <c r="BA265" s="114">
        <f t="shared" si="43"/>
        <v>20</v>
      </c>
      <c r="BB265" s="111" t="s">
        <v>4</v>
      </c>
    </row>
    <row r="266" spans="1:54" s="100" customFormat="1" ht="11.25" customHeight="1" x14ac:dyDescent="0.15">
      <c r="A266" s="111" t="s">
        <v>433</v>
      </c>
      <c r="B266" s="111">
        <v>20</v>
      </c>
      <c r="C266" s="114">
        <v>259</v>
      </c>
      <c r="D266" s="112" t="str">
        <f>CONCATENATE("Hora Cátedra Enseñanza Media ",B266," hs Esc Esp")</f>
        <v>Hora Cátedra Enseñanza Media 20 hs Esc Esp</v>
      </c>
      <c r="E266" s="169">
        <v>1580</v>
      </c>
      <c r="F266" s="113">
        <f>ROUND(E266*Valores!$C$2,2)</f>
        <v>154533.48000000001</v>
      </c>
      <c r="G266" s="169">
        <v>0</v>
      </c>
      <c r="H266" s="113">
        <f>ROUND(G266*Valores!$C$2,2)</f>
        <v>0</v>
      </c>
      <c r="I266" s="169">
        <v>0</v>
      </c>
      <c r="J266" s="113">
        <f>ROUND(I266*Valores!$C$2,2)</f>
        <v>0</v>
      </c>
      <c r="K266" s="169">
        <v>0</v>
      </c>
      <c r="L266" s="113">
        <f>ROUND(K266*Valores!$C$2,2)</f>
        <v>0</v>
      </c>
      <c r="M266" s="113">
        <f>ROUND(IF($H$2=0,IF(AND(A266&lt;&gt;"13-930",A266&lt;&gt;"13-940"),(SUM(F266,H266,J266,L266,W266,S266,Q266)*Valores!$C$4),0),0),2)</f>
        <v>52584.27</v>
      </c>
      <c r="N266" s="113">
        <f t="shared" si="47"/>
        <v>0</v>
      </c>
      <c r="O266" s="113">
        <f>Valores!C$65*B266</f>
        <v>133027.4</v>
      </c>
      <c r="P266" s="113">
        <f>ROUND(IF((Valores!$E$5*B266)&lt;=Valores!$F$5,Valores!$E$5*B266,Valores!$F$5),2)</f>
        <v>66664.600000000006</v>
      </c>
      <c r="Q266" s="113">
        <f>IF($F$4="NO",Valores!$C$28*B266,Valores!$C$28*B266/2)</f>
        <v>34940.800000000003</v>
      </c>
      <c r="R266" s="113">
        <f>Valores!$C$7*B266</f>
        <v>20862.800000000003</v>
      </c>
      <c r="S266" s="113">
        <f t="shared" si="41"/>
        <v>20862.8</v>
      </c>
      <c r="T266" s="113">
        <v>0</v>
      </c>
      <c r="U266" s="113">
        <v>0</v>
      </c>
      <c r="V266" s="169">
        <v>0</v>
      </c>
      <c r="W266" s="113">
        <f>ROUND(V266*Valores!$C$2,2)</f>
        <v>0</v>
      </c>
      <c r="X266" s="113">
        <v>0</v>
      </c>
      <c r="Y266" s="188">
        <v>0</v>
      </c>
      <c r="Z266" s="113">
        <f t="shared" si="48"/>
        <v>0</v>
      </c>
      <c r="AA266" s="169">
        <v>94</v>
      </c>
      <c r="AB266" s="113">
        <f>ROUND(AA266*Valores!$C$2,2)</f>
        <v>9193.76</v>
      </c>
      <c r="AC266" s="113">
        <f>ROUND(IF($F$4="NO",Valores!$C$33*B266,Valores!$C$33*B266/2),2)</f>
        <v>31170.36</v>
      </c>
      <c r="AD266" s="113">
        <f>SUM(F266,H266,J266,L266,M266,N266,O266,P266,Q266,S266,T266,U266,W266,X266,Z266,AB266,AC266)*Valores!$C$58</f>
        <v>50297.747000000003</v>
      </c>
      <c r="AE266" s="113">
        <f t="shared" si="49"/>
        <v>553275.21699999995</v>
      </c>
      <c r="AF266" s="113">
        <f>IF(Valores!$C$13*B266&gt;Valores!$F$13,Valores!$F$13,Valores!$C$13*B266)</f>
        <v>48570.666666666664</v>
      </c>
      <c r="AG266" s="113">
        <f>IF((Valores!$C$59/20*B266)&gt;Valores!$C$59,Valores!$C$59,Valores!$C$59/20*B266)</f>
        <v>25000</v>
      </c>
      <c r="AH266" s="113">
        <f t="shared" si="45"/>
        <v>73570.666666666657</v>
      </c>
      <c r="AI266" s="113">
        <f>AE266*Valores!$C$39</f>
        <v>-60860.273869999997</v>
      </c>
      <c r="AJ266" s="113">
        <f>IF(AE266&lt;Valores!$E$40,-0.02,IF(AE266&lt;Valores!$F$40,-0.03,-0.04))*AE266</f>
        <v>-11065.50434</v>
      </c>
      <c r="AK266" s="113">
        <f>AE266*Valores!$C$42</f>
        <v>-30430.136934999999</v>
      </c>
      <c r="AL266" s="113">
        <f>Valores!$C$56</f>
        <v>-1270.1600000000001</v>
      </c>
      <c r="AM266" s="113">
        <f>IF($F$5=0,Valores!$C$57,(Valores!$C$57+$F$5*(Valores!$C$57)))</f>
        <v>-7026</v>
      </c>
      <c r="AN266" s="113">
        <f t="shared" si="50"/>
        <v>516193.80852166662</v>
      </c>
      <c r="AO266" s="113">
        <f t="shared" si="44"/>
        <v>-60860.273869999997</v>
      </c>
      <c r="AP266" s="113">
        <f t="shared" si="51"/>
        <v>-11065.50434</v>
      </c>
      <c r="AQ266" s="113">
        <f>AE266*Valores!$C$43</f>
        <v>-14938.430858999998</v>
      </c>
      <c r="AR266" s="113">
        <f>AE266*Valores!$C$44</f>
        <v>-1659.8256509999999</v>
      </c>
      <c r="AS266" s="113">
        <f t="shared" si="46"/>
        <v>538321.84894666658</v>
      </c>
      <c r="AT266" s="113">
        <f>AE266*Valores!$C$46</f>
        <v>88524.034719999996</v>
      </c>
      <c r="AU266" s="113">
        <f>AE266*Valores!$C$47</f>
        <v>38729.265189999998</v>
      </c>
      <c r="AV266" s="113">
        <f>AE266*Valores!$C$48</f>
        <v>5532.7521699999998</v>
      </c>
      <c r="AW266" s="113">
        <f>AE266*Valores!$C$50</f>
        <v>19364.632594999999</v>
      </c>
      <c r="AX266" s="113">
        <f>AE266*Valores!$C$52</f>
        <v>29876.861717999996</v>
      </c>
      <c r="AY266" s="113">
        <f>AE266*Valores!$C$51</f>
        <v>3319.6513019999998</v>
      </c>
      <c r="AZ266" s="114"/>
      <c r="BA266" s="114">
        <f t="shared" si="43"/>
        <v>20</v>
      </c>
      <c r="BB266" s="111" t="s">
        <v>4</v>
      </c>
    </row>
    <row r="267" spans="1:54" s="100" customFormat="1" ht="11.25" customHeight="1" x14ac:dyDescent="0.15">
      <c r="A267" s="111" t="s">
        <v>433</v>
      </c>
      <c r="B267" s="111">
        <v>21</v>
      </c>
      <c r="C267" s="114">
        <v>260</v>
      </c>
      <c r="D267" s="112" t="str">
        <f>CONCATENATE("Hora Cátedra Enseñanza Media ",B267," hs")</f>
        <v>Hora Cátedra Enseñanza Media 21 hs</v>
      </c>
      <c r="E267" s="169">
        <v>1659</v>
      </c>
      <c r="F267" s="113">
        <f>ROUND(E267*Valores!$C$2,2)</f>
        <v>162260.15</v>
      </c>
      <c r="G267" s="169">
        <v>0</v>
      </c>
      <c r="H267" s="113">
        <f>ROUND(G267*Valores!$C$2,2)</f>
        <v>0</v>
      </c>
      <c r="I267" s="169">
        <v>0</v>
      </c>
      <c r="J267" s="113">
        <f>ROUND(I267*Valores!$C$2,2)</f>
        <v>0</v>
      </c>
      <c r="K267" s="169">
        <v>0</v>
      </c>
      <c r="L267" s="113">
        <f>ROUND(K267*Valores!$C$2,2)</f>
        <v>0</v>
      </c>
      <c r="M267" s="113">
        <f>ROUND(IF($H$2=0,IF(AND(A267&lt;&gt;"13-930",A267&lt;&gt;"13-940"),(SUM(F267,H267,J267,L267,W267,S267,Q267)*Valores!$C$4),0),0),2)</f>
        <v>55213.48</v>
      </c>
      <c r="N267" s="113">
        <f t="shared" si="47"/>
        <v>0</v>
      </c>
      <c r="O267" s="113">
        <f>Valores!C$65*B267</f>
        <v>139678.76999999999</v>
      </c>
      <c r="P267" s="113">
        <f>ROUND(IF((Valores!$E$5*B267)&lt;=Valores!$F$5,Valores!$E$5*B267,Valores!$F$5),2)</f>
        <v>69997.83</v>
      </c>
      <c r="Q267" s="113">
        <f>IF($F$4="NO",Valores!$C$28*B267,Valores!$C$28*B267/2)</f>
        <v>36687.839999999997</v>
      </c>
      <c r="R267" s="113">
        <f>Valores!$C$7*B267</f>
        <v>21905.940000000002</v>
      </c>
      <c r="S267" s="113">
        <f t="shared" ref="S267:S299" si="52">ROUND(R267*(1+$H$2),2)</f>
        <v>21905.94</v>
      </c>
      <c r="T267" s="113">
        <v>0</v>
      </c>
      <c r="U267" s="113">
        <v>0</v>
      </c>
      <c r="V267" s="169">
        <v>0</v>
      </c>
      <c r="W267" s="113">
        <f>ROUND(V267*Valores!$C$2,2)</f>
        <v>0</v>
      </c>
      <c r="X267" s="113">
        <v>0</v>
      </c>
      <c r="Y267" s="188">
        <v>0</v>
      </c>
      <c r="Z267" s="113">
        <f t="shared" si="48"/>
        <v>0</v>
      </c>
      <c r="AA267" s="169">
        <v>0</v>
      </c>
      <c r="AB267" s="113">
        <f>ROUND(AA267*Valores!$C$2,2)</f>
        <v>0</v>
      </c>
      <c r="AC267" s="113">
        <f>ROUND(IF($F$4="NO",Valores!$C$33*B267,Valores!$C$33*B267/2),2)</f>
        <v>32728.880000000001</v>
      </c>
      <c r="AD267" s="113">
        <f>SUM(F267,H267,J267,L267,M267,N267,O267,P267,Q267,S267,T267,U267,W267,X267,Z267,AB267,AC267)*Valores!$C$58</f>
        <v>51847.289000000012</v>
      </c>
      <c r="AE267" s="113">
        <f t="shared" si="49"/>
        <v>570320.17900000012</v>
      </c>
      <c r="AF267" s="113">
        <f>IF(Valores!$C$13*B267&gt;Valores!$F$13,Valores!$F$13,Valores!$C$13*B267)</f>
        <v>50999.199999999997</v>
      </c>
      <c r="AG267" s="113">
        <f>IF((Valores!$C$59/20*B267)&gt;Valores!$C$59,Valores!$C$59,Valores!$C$59/20*B267)</f>
        <v>25000</v>
      </c>
      <c r="AH267" s="113">
        <f t="shared" si="45"/>
        <v>75999.199999999997</v>
      </c>
      <c r="AI267" s="113">
        <f>AE267*Valores!$C$39</f>
        <v>-62735.219690000013</v>
      </c>
      <c r="AJ267" s="113">
        <f>IF(AE267&lt;Valores!$E$40,-0.02,IF(AE267&lt;Valores!$F$40,-0.03,-0.04))*AE267</f>
        <v>-11406.403580000002</v>
      </c>
      <c r="AK267" s="113">
        <f>AE267*Valores!$C$42</f>
        <v>-31367.609845000006</v>
      </c>
      <c r="AL267" s="113">
        <f>Valores!$C$56</f>
        <v>-1270.1600000000001</v>
      </c>
      <c r="AM267" s="113">
        <f>IF($F$5=0,Valores!$C$57,(Valores!$C$57+$F$5*(Valores!$C$57)))</f>
        <v>-7026</v>
      </c>
      <c r="AN267" s="113">
        <f t="shared" si="50"/>
        <v>532513.98588500009</v>
      </c>
      <c r="AO267" s="113">
        <f t="shared" si="44"/>
        <v>-62735.219690000013</v>
      </c>
      <c r="AP267" s="113">
        <f t="shared" si="51"/>
        <v>-11406.403580000002</v>
      </c>
      <c r="AQ267" s="113">
        <f>AE267*Valores!$C$43</f>
        <v>-15398.644833000004</v>
      </c>
      <c r="AR267" s="113">
        <f>AE267*Valores!$C$44</f>
        <v>-1710.9605370000004</v>
      </c>
      <c r="AS267" s="113">
        <f t="shared" si="46"/>
        <v>555068.15036000009</v>
      </c>
      <c r="AT267" s="113">
        <f>AE267*Valores!$C$46</f>
        <v>91251.228640000016</v>
      </c>
      <c r="AU267" s="113">
        <f>AE267*Valores!$C$47</f>
        <v>39922.412530000009</v>
      </c>
      <c r="AV267" s="113">
        <f>AE267*Valores!$C$48</f>
        <v>5703.201790000001</v>
      </c>
      <c r="AW267" s="113">
        <f>AE267*Valores!$C$50</f>
        <v>19961.206265000004</v>
      </c>
      <c r="AX267" s="113">
        <f>AE267*Valores!$C$52</f>
        <v>30797.289666000008</v>
      </c>
      <c r="AY267" s="113">
        <f>AE267*Valores!$C$51</f>
        <v>3421.9210740000008</v>
      </c>
      <c r="AZ267" s="114"/>
      <c r="BA267" s="114">
        <f t="shared" si="43"/>
        <v>21</v>
      </c>
      <c r="BB267" s="111" t="s">
        <v>4</v>
      </c>
    </row>
    <row r="268" spans="1:54" s="100" customFormat="1" ht="11.25" customHeight="1" x14ac:dyDescent="0.15">
      <c r="A268" s="111" t="s">
        <v>433</v>
      </c>
      <c r="B268" s="111">
        <v>21</v>
      </c>
      <c r="C268" s="114">
        <v>261</v>
      </c>
      <c r="D268" s="112" t="str">
        <f>CONCATENATE("Hora Cátedra Enseñanza Media ",B268," hs Esc Esp")</f>
        <v>Hora Cátedra Enseñanza Media 21 hs Esc Esp</v>
      </c>
      <c r="E268" s="169">
        <v>1659</v>
      </c>
      <c r="F268" s="113">
        <f>ROUND(E268*Valores!$C$2,2)</f>
        <v>162260.15</v>
      </c>
      <c r="G268" s="169">
        <v>0</v>
      </c>
      <c r="H268" s="113">
        <f>ROUND(G268*Valores!$C$2,2)</f>
        <v>0</v>
      </c>
      <c r="I268" s="169">
        <v>0</v>
      </c>
      <c r="J268" s="113">
        <f>ROUND(I268*Valores!$C$2,2)</f>
        <v>0</v>
      </c>
      <c r="K268" s="169">
        <v>0</v>
      </c>
      <c r="L268" s="113">
        <f>ROUND(K268*Valores!$C$2,2)</f>
        <v>0</v>
      </c>
      <c r="M268" s="113">
        <f>ROUND(IF($H$2=0,IF(AND(A268&lt;&gt;"13-930",A268&lt;&gt;"13-940"),(SUM(F268,H268,J268,L268,W268,S268,Q268)*Valores!$C$4),0),0),2)</f>
        <v>55213.48</v>
      </c>
      <c r="N268" s="113">
        <f t="shared" si="47"/>
        <v>0</v>
      </c>
      <c r="O268" s="113">
        <f>Valores!C$65*B268</f>
        <v>139678.76999999999</v>
      </c>
      <c r="P268" s="113">
        <f>ROUND(IF((Valores!$E$5*B268)&lt;=Valores!$F$5,Valores!$E$5*B268,Valores!$F$5),2)</f>
        <v>69997.83</v>
      </c>
      <c r="Q268" s="113">
        <f>IF($F$4="NO",Valores!$C$28*B268,Valores!$C$28*B268/2)</f>
        <v>36687.839999999997</v>
      </c>
      <c r="R268" s="113">
        <f>Valores!$C$7*B268</f>
        <v>21905.940000000002</v>
      </c>
      <c r="S268" s="113">
        <f t="shared" si="52"/>
        <v>21905.94</v>
      </c>
      <c r="T268" s="113">
        <v>0</v>
      </c>
      <c r="U268" s="113">
        <v>0</v>
      </c>
      <c r="V268" s="169">
        <v>0</v>
      </c>
      <c r="W268" s="113">
        <f>ROUND(V268*Valores!$C$2,2)</f>
        <v>0</v>
      </c>
      <c r="X268" s="113">
        <v>0</v>
      </c>
      <c r="Y268" s="188">
        <v>0</v>
      </c>
      <c r="Z268" s="113">
        <f t="shared" si="48"/>
        <v>0</v>
      </c>
      <c r="AA268" s="169">
        <v>94</v>
      </c>
      <c r="AB268" s="113">
        <f>ROUND(AA268*Valores!$C$2,2)</f>
        <v>9193.76</v>
      </c>
      <c r="AC268" s="113">
        <f>ROUND(IF($F$4="NO",Valores!$C$33*B268,Valores!$C$33*B268/2),2)</f>
        <v>32728.880000000001</v>
      </c>
      <c r="AD268" s="113">
        <f>SUM(F268,H268,J268,L268,M268,N268,O268,P268,Q268,S268,T268,U268,W268,X268,Z268,AB268,AC268)*Valores!$C$58</f>
        <v>52766.665000000008</v>
      </c>
      <c r="AE268" s="113">
        <f t="shared" si="49"/>
        <v>580433.31500000006</v>
      </c>
      <c r="AF268" s="113">
        <f>IF(Valores!$C$13*B268&gt;Valores!$F$13,Valores!$F$13,Valores!$C$13*B268)</f>
        <v>50999.199999999997</v>
      </c>
      <c r="AG268" s="113">
        <f>IF((Valores!$C$59/20*B268)&gt;Valores!$C$59,Valores!$C$59,Valores!$C$59/20*B268)</f>
        <v>25000</v>
      </c>
      <c r="AH268" s="113">
        <f t="shared" si="45"/>
        <v>75999.199999999997</v>
      </c>
      <c r="AI268" s="113">
        <f>AE268*Valores!$C$39</f>
        <v>-63847.664650000006</v>
      </c>
      <c r="AJ268" s="113">
        <f>IF(AE268&lt;Valores!$E$40,-0.02,IF(AE268&lt;Valores!$F$40,-0.03,-0.04))*AE268</f>
        <v>-11608.666300000001</v>
      </c>
      <c r="AK268" s="113">
        <f>AE268*Valores!$C$42</f>
        <v>-31923.832325000003</v>
      </c>
      <c r="AL268" s="113">
        <f>Valores!$C$56</f>
        <v>-1270.1600000000001</v>
      </c>
      <c r="AM268" s="113">
        <f>IF($F$5=0,Valores!$C$57,(Valores!$C$57+$F$5*(Valores!$C$57)))</f>
        <v>-7026</v>
      </c>
      <c r="AN268" s="113">
        <f t="shared" si="50"/>
        <v>540756.19172500004</v>
      </c>
      <c r="AO268" s="113">
        <f t="shared" si="44"/>
        <v>-63847.664650000006</v>
      </c>
      <c r="AP268" s="113">
        <f t="shared" si="51"/>
        <v>-11608.666300000001</v>
      </c>
      <c r="AQ268" s="113">
        <f>AE268*Valores!$C$43</f>
        <v>-15671.699505000002</v>
      </c>
      <c r="AR268" s="113">
        <f>AE268*Valores!$C$44</f>
        <v>-1741.2999450000002</v>
      </c>
      <c r="AS268" s="113">
        <f t="shared" si="46"/>
        <v>563563.18460000004</v>
      </c>
      <c r="AT268" s="113">
        <f>AE268*Valores!$C$46</f>
        <v>92869.330400000006</v>
      </c>
      <c r="AU268" s="113">
        <f>AE268*Valores!$C$47</f>
        <v>40630.332050000005</v>
      </c>
      <c r="AV268" s="113">
        <f>AE268*Valores!$C$48</f>
        <v>5804.3331500000004</v>
      </c>
      <c r="AW268" s="113">
        <f>AE268*Valores!$C$50</f>
        <v>20315.166025000002</v>
      </c>
      <c r="AX268" s="113">
        <f>AE268*Valores!$C$52</f>
        <v>31343.399010000005</v>
      </c>
      <c r="AY268" s="113">
        <f>AE268*Valores!$C$51</f>
        <v>3482.5998900000004</v>
      </c>
      <c r="AZ268" s="114"/>
      <c r="BA268" s="114">
        <f t="shared" si="43"/>
        <v>21</v>
      </c>
      <c r="BB268" s="111" t="s">
        <v>4</v>
      </c>
    </row>
    <row r="269" spans="1:54" s="100" customFormat="1" ht="11.25" customHeight="1" x14ac:dyDescent="0.15">
      <c r="A269" s="111" t="s">
        <v>433</v>
      </c>
      <c r="B269" s="111">
        <v>22</v>
      </c>
      <c r="C269" s="114">
        <v>262</v>
      </c>
      <c r="D269" s="112" t="str">
        <f>CONCATENATE("Hora Cátedra Enseñanza Media ",B269," hs")</f>
        <v>Hora Cátedra Enseñanza Media 22 hs</v>
      </c>
      <c r="E269" s="169">
        <v>1738</v>
      </c>
      <c r="F269" s="113">
        <f>ROUND(E269*Valores!$C$2,2)</f>
        <v>169986.83</v>
      </c>
      <c r="G269" s="169">
        <v>0</v>
      </c>
      <c r="H269" s="113">
        <f>ROUND(G269*Valores!$C$2,2)</f>
        <v>0</v>
      </c>
      <c r="I269" s="169">
        <v>0</v>
      </c>
      <c r="J269" s="113">
        <f>ROUND(I269*Valores!$C$2,2)</f>
        <v>0</v>
      </c>
      <c r="K269" s="169">
        <v>0</v>
      </c>
      <c r="L269" s="113">
        <f>ROUND(K269*Valores!$C$2,2)</f>
        <v>0</v>
      </c>
      <c r="M269" s="113">
        <f>ROUND(IF($H$2=0,IF(AND(A269&lt;&gt;"13-930",A269&lt;&gt;"13-940"),(SUM(F269,H269,J269,L269,W269,S269,Q269)*Valores!$C$4),0),0),2)</f>
        <v>57842.7</v>
      </c>
      <c r="N269" s="113">
        <f t="shared" si="47"/>
        <v>0</v>
      </c>
      <c r="O269" s="113">
        <f>Valores!C$65*B269</f>
        <v>146330.13999999998</v>
      </c>
      <c r="P269" s="113">
        <f>ROUND(IF((Valores!$E$5*B269)&lt;=Valores!$F$5,Valores!$E$5*B269,Valores!$F$5),2)</f>
        <v>73331.06</v>
      </c>
      <c r="Q269" s="113">
        <f>IF($F$4="NO",Valores!$C$28*B269,Valores!$C$28*B269/2)</f>
        <v>38434.879999999997</v>
      </c>
      <c r="R269" s="113">
        <f>Valores!$C$7*B269</f>
        <v>22949.08</v>
      </c>
      <c r="S269" s="113">
        <f t="shared" si="52"/>
        <v>22949.08</v>
      </c>
      <c r="T269" s="113">
        <v>0</v>
      </c>
      <c r="U269" s="113">
        <v>0</v>
      </c>
      <c r="V269" s="169">
        <v>0</v>
      </c>
      <c r="W269" s="113">
        <f>ROUND(V269*Valores!$C$2,2)</f>
        <v>0</v>
      </c>
      <c r="X269" s="113">
        <v>0</v>
      </c>
      <c r="Y269" s="188">
        <v>0</v>
      </c>
      <c r="Z269" s="113">
        <f t="shared" si="48"/>
        <v>0</v>
      </c>
      <c r="AA269" s="169">
        <v>0</v>
      </c>
      <c r="AB269" s="113">
        <f>ROUND(AA269*Valores!$C$2,2)</f>
        <v>0</v>
      </c>
      <c r="AC269" s="113">
        <f>ROUND(IF($F$4="NO",Valores!$C$33*B269,Valores!$C$33*B269/2),2)</f>
        <v>34287.4</v>
      </c>
      <c r="AD269" s="113">
        <f>SUM(F269,H269,J269,L269,M269,N269,O269,P269,Q269,S269,T269,U269,W269,X269,Z269,AB269,AC269)*Valores!$C$58</f>
        <v>54316.209000000003</v>
      </c>
      <c r="AE269" s="113">
        <f t="shared" si="49"/>
        <v>597478.299</v>
      </c>
      <c r="AF269" s="113">
        <f>IF(Valores!$C$13*B269&gt;Valores!$F$13,Valores!$F$13,Valores!$C$13*B269)</f>
        <v>53427.73333333333</v>
      </c>
      <c r="AG269" s="113">
        <f>IF((Valores!$C$59/20*B269)&gt;Valores!$C$59,Valores!$C$59,Valores!$C$59/20*B269)</f>
        <v>25000</v>
      </c>
      <c r="AH269" s="113">
        <f t="shared" si="45"/>
        <v>78427.733333333337</v>
      </c>
      <c r="AI269" s="113">
        <f>AE269*Valores!$C$39</f>
        <v>-65722.612890000004</v>
      </c>
      <c r="AJ269" s="113">
        <f>IF(AE269&lt;Valores!$E$40,-0.02,IF(AE269&lt;Valores!$F$40,-0.03,-0.04))*AE269</f>
        <v>-11949.565979999999</v>
      </c>
      <c r="AK269" s="113">
        <f>AE269*Valores!$C$42</f>
        <v>-32861.306445000002</v>
      </c>
      <c r="AL269" s="113">
        <f>Valores!$C$56</f>
        <v>-1270.1600000000001</v>
      </c>
      <c r="AM269" s="113">
        <f>IF($F$5=0,Valores!$C$57,(Valores!$C$57+$F$5*(Valores!$C$57)))</f>
        <v>-7026</v>
      </c>
      <c r="AN269" s="113">
        <f t="shared" si="50"/>
        <v>557076.38701833331</v>
      </c>
      <c r="AO269" s="113">
        <f t="shared" si="44"/>
        <v>-65722.612890000004</v>
      </c>
      <c r="AP269" s="113">
        <f t="shared" si="51"/>
        <v>-11949.565979999999</v>
      </c>
      <c r="AQ269" s="113">
        <f>AE269*Valores!$C$43</f>
        <v>-16131.914073</v>
      </c>
      <c r="AR269" s="113">
        <f>AE269*Valores!$C$44</f>
        <v>-1792.4348970000001</v>
      </c>
      <c r="AS269" s="113">
        <f t="shared" si="46"/>
        <v>580309.50449333328</v>
      </c>
      <c r="AT269" s="113">
        <f>AE269*Valores!$C$46</f>
        <v>95596.527839999995</v>
      </c>
      <c r="AU269" s="113">
        <f>AE269*Valores!$C$47</f>
        <v>41823.480930000005</v>
      </c>
      <c r="AV269" s="113">
        <f>AE269*Valores!$C$48</f>
        <v>5974.7829899999997</v>
      </c>
      <c r="AW269" s="113">
        <f>AE269*Valores!$C$50</f>
        <v>20911.740465000003</v>
      </c>
      <c r="AX269" s="113">
        <f>AE269*Valores!$C$52</f>
        <v>32263.828146</v>
      </c>
      <c r="AY269" s="113">
        <f>AE269*Valores!$C$51</f>
        <v>3584.8697940000002</v>
      </c>
      <c r="AZ269" s="114"/>
      <c r="BA269" s="114">
        <f t="shared" si="43"/>
        <v>22</v>
      </c>
      <c r="BB269" s="111" t="s">
        <v>4</v>
      </c>
    </row>
    <row r="270" spans="1:54" s="100" customFormat="1" ht="11.25" customHeight="1" x14ac:dyDescent="0.15">
      <c r="A270" s="111" t="s">
        <v>433</v>
      </c>
      <c r="B270" s="111">
        <v>22</v>
      </c>
      <c r="C270" s="114">
        <v>263</v>
      </c>
      <c r="D270" s="112" t="str">
        <f>CONCATENATE("Hora Cátedra Enseñanza Media ",B270," hs Esc Esp")</f>
        <v>Hora Cátedra Enseñanza Media 22 hs Esc Esp</v>
      </c>
      <c r="E270" s="169">
        <v>1738</v>
      </c>
      <c r="F270" s="113">
        <f>ROUND(E270*Valores!$C$2,2)</f>
        <v>169986.83</v>
      </c>
      <c r="G270" s="169">
        <v>0</v>
      </c>
      <c r="H270" s="113">
        <f>ROUND(G270*Valores!$C$2,2)</f>
        <v>0</v>
      </c>
      <c r="I270" s="169">
        <v>0</v>
      </c>
      <c r="J270" s="113">
        <f>ROUND(I270*Valores!$C$2,2)</f>
        <v>0</v>
      </c>
      <c r="K270" s="169">
        <v>0</v>
      </c>
      <c r="L270" s="113">
        <f>ROUND(K270*Valores!$C$2,2)</f>
        <v>0</v>
      </c>
      <c r="M270" s="113">
        <f>ROUND(IF($H$2=0,IF(AND(A270&lt;&gt;"13-930",A270&lt;&gt;"13-940"),(SUM(F270,H270,J270,L270,W270,S270,Q270)*Valores!$C$4),0),0),2)</f>
        <v>57842.7</v>
      </c>
      <c r="N270" s="113">
        <f t="shared" si="47"/>
        <v>0</v>
      </c>
      <c r="O270" s="113">
        <f>Valores!C$65*B270</f>
        <v>146330.13999999998</v>
      </c>
      <c r="P270" s="113">
        <f>ROUND(IF((Valores!$E$5*B270)&lt;=Valores!$F$5,Valores!$E$5*B270,Valores!$F$5),2)</f>
        <v>73331.06</v>
      </c>
      <c r="Q270" s="113">
        <f>IF($F$4="NO",Valores!$C$28*B270,Valores!$C$28*B270/2)</f>
        <v>38434.879999999997</v>
      </c>
      <c r="R270" s="113">
        <f>Valores!$C$7*B270</f>
        <v>22949.08</v>
      </c>
      <c r="S270" s="113">
        <f t="shared" si="52"/>
        <v>22949.08</v>
      </c>
      <c r="T270" s="113">
        <v>0</v>
      </c>
      <c r="U270" s="113">
        <v>0</v>
      </c>
      <c r="V270" s="169">
        <v>0</v>
      </c>
      <c r="W270" s="113">
        <f>ROUND(V270*Valores!$C$2,2)</f>
        <v>0</v>
      </c>
      <c r="X270" s="113">
        <v>0</v>
      </c>
      <c r="Y270" s="188">
        <v>0</v>
      </c>
      <c r="Z270" s="113">
        <f t="shared" si="48"/>
        <v>0</v>
      </c>
      <c r="AA270" s="169">
        <v>94</v>
      </c>
      <c r="AB270" s="113">
        <f>ROUND(AA270*Valores!$C$2,2)</f>
        <v>9193.76</v>
      </c>
      <c r="AC270" s="113">
        <f>ROUND(IF($F$4="NO",Valores!$C$33*B270,Valores!$C$33*B270/2),2)</f>
        <v>34287.4</v>
      </c>
      <c r="AD270" s="113">
        <f>SUM(F270,H270,J270,L270,M270,N270,O270,P270,Q270,S270,T270,U270,W270,X270,Z270,AB270,AC270)*Valores!$C$58</f>
        <v>55235.584999999999</v>
      </c>
      <c r="AE270" s="113">
        <f t="shared" si="49"/>
        <v>607591.43499999994</v>
      </c>
      <c r="AF270" s="113">
        <f>IF(Valores!$C$13*B270&gt;Valores!$F$13,Valores!$F$13,Valores!$C$13*B270)</f>
        <v>53427.73333333333</v>
      </c>
      <c r="AG270" s="113">
        <f>IF((Valores!$C$59/20*B270)&gt;Valores!$C$59,Valores!$C$59,Valores!$C$59/20*B270)</f>
        <v>25000</v>
      </c>
      <c r="AH270" s="113">
        <f t="shared" si="45"/>
        <v>78427.733333333337</v>
      </c>
      <c r="AI270" s="113">
        <f>AE270*Valores!$C$39</f>
        <v>-66835.057849999997</v>
      </c>
      <c r="AJ270" s="113">
        <f>IF(AE270&lt;Valores!$E$40,-0.02,IF(AE270&lt;Valores!$F$40,-0.03,-0.04))*AE270</f>
        <v>-12151.828699999998</v>
      </c>
      <c r="AK270" s="113">
        <f>AE270*Valores!$C$42</f>
        <v>-33417.528924999999</v>
      </c>
      <c r="AL270" s="113">
        <f>Valores!$C$56</f>
        <v>-1270.1600000000001</v>
      </c>
      <c r="AM270" s="113">
        <f>IF($F$5=0,Valores!$C$57,(Valores!$C$57+$F$5*(Valores!$C$57)))</f>
        <v>-7026</v>
      </c>
      <c r="AN270" s="113">
        <f t="shared" si="50"/>
        <v>565318.59285833326</v>
      </c>
      <c r="AO270" s="113">
        <f t="shared" si="44"/>
        <v>-66835.057849999997</v>
      </c>
      <c r="AP270" s="113">
        <f t="shared" si="51"/>
        <v>-12151.828699999998</v>
      </c>
      <c r="AQ270" s="113">
        <f>AE270*Valores!$C$43</f>
        <v>-16404.968744999998</v>
      </c>
      <c r="AR270" s="113">
        <f>AE270*Valores!$C$44</f>
        <v>-1822.7743049999999</v>
      </c>
      <c r="AS270" s="113">
        <f t="shared" si="46"/>
        <v>588804.53873333323</v>
      </c>
      <c r="AT270" s="113">
        <f>AE270*Valores!$C$46</f>
        <v>97214.629599999986</v>
      </c>
      <c r="AU270" s="113">
        <f>AE270*Valores!$C$47</f>
        <v>42531.400450000001</v>
      </c>
      <c r="AV270" s="113">
        <f>AE270*Valores!$C$48</f>
        <v>6075.9143499999991</v>
      </c>
      <c r="AW270" s="113">
        <f>AE270*Valores!$C$50</f>
        <v>21265.700225000001</v>
      </c>
      <c r="AX270" s="113">
        <f>AE270*Valores!$C$52</f>
        <v>32809.937489999997</v>
      </c>
      <c r="AY270" s="113">
        <f>AE270*Valores!$C$51</f>
        <v>3645.5486099999998</v>
      </c>
      <c r="AZ270" s="114"/>
      <c r="BA270" s="114">
        <f t="shared" si="43"/>
        <v>22</v>
      </c>
      <c r="BB270" s="111" t="s">
        <v>4</v>
      </c>
    </row>
    <row r="271" spans="1:54" s="100" customFormat="1" ht="11.25" customHeight="1" x14ac:dyDescent="0.15">
      <c r="A271" s="111" t="s">
        <v>433</v>
      </c>
      <c r="B271" s="111">
        <v>23</v>
      </c>
      <c r="C271" s="114">
        <v>264</v>
      </c>
      <c r="D271" s="112" t="str">
        <f>CONCATENATE("Hora Cátedra Enseñanza Media ",B271," hs")</f>
        <v>Hora Cátedra Enseñanza Media 23 hs</v>
      </c>
      <c r="E271" s="169">
        <v>1817</v>
      </c>
      <c r="F271" s="113">
        <f>ROUND(E271*Valores!$C$2,2)</f>
        <v>177713.5</v>
      </c>
      <c r="G271" s="169">
        <v>0</v>
      </c>
      <c r="H271" s="113">
        <f>ROUND(G271*Valores!$C$2,2)</f>
        <v>0</v>
      </c>
      <c r="I271" s="169">
        <v>0</v>
      </c>
      <c r="J271" s="113">
        <f>ROUND(I271*Valores!$C$2,2)</f>
        <v>0</v>
      </c>
      <c r="K271" s="169">
        <v>0</v>
      </c>
      <c r="L271" s="113">
        <f>ROUND(K271*Valores!$C$2,2)</f>
        <v>0</v>
      </c>
      <c r="M271" s="113">
        <f>ROUND(IF($H$2=0,IF(AND(A271&lt;&gt;"13-930",A271&lt;&gt;"13-940"),(SUM(F271,H271,J271,L271,W271,S271,Q271)*Valores!$C$4),0),0),2)</f>
        <v>60471.91</v>
      </c>
      <c r="N271" s="113">
        <f t="shared" si="47"/>
        <v>0</v>
      </c>
      <c r="O271" s="113">
        <f>Valores!C$65*B271</f>
        <v>152981.51</v>
      </c>
      <c r="P271" s="113">
        <f>ROUND(IF((Valores!$E$5*B271)&lt;=Valores!$F$5,Valores!$E$5*B271,Valores!$F$5),2)</f>
        <v>74997.64</v>
      </c>
      <c r="Q271" s="113">
        <f>IF($F$4="NO",Valores!$C$28*B271,Valores!$C$28*B271/2)</f>
        <v>40181.919999999998</v>
      </c>
      <c r="R271" s="113">
        <f>Valores!$C$7*B271</f>
        <v>23992.22</v>
      </c>
      <c r="S271" s="113">
        <f t="shared" si="52"/>
        <v>23992.22</v>
      </c>
      <c r="T271" s="113">
        <v>0</v>
      </c>
      <c r="U271" s="113">
        <v>0</v>
      </c>
      <c r="V271" s="169">
        <v>0</v>
      </c>
      <c r="W271" s="113">
        <f>ROUND(V271*Valores!$C$2,2)</f>
        <v>0</v>
      </c>
      <c r="X271" s="113">
        <v>0</v>
      </c>
      <c r="Y271" s="188">
        <v>0</v>
      </c>
      <c r="Z271" s="113">
        <f t="shared" si="48"/>
        <v>0</v>
      </c>
      <c r="AA271" s="169">
        <v>0</v>
      </c>
      <c r="AB271" s="113">
        <f>ROUND(AA271*Valores!$C$2,2)</f>
        <v>0</v>
      </c>
      <c r="AC271" s="113">
        <f>ROUND(IF($F$4="NO",Valores!$C$33*B271,Valores!$C$33*B271/2),2)</f>
        <v>35845.910000000003</v>
      </c>
      <c r="AD271" s="113">
        <f>SUM(F271,H271,J271,L271,M271,N271,O271,P271,Q271,S271,T271,U271,W271,X271,Z271,AB271,AC271)*Valores!$C$58</f>
        <v>56618.46100000001</v>
      </c>
      <c r="AE271" s="113">
        <f t="shared" si="49"/>
        <v>622803.07100000011</v>
      </c>
      <c r="AF271" s="113">
        <f>IF(Valores!$C$13*B271&gt;Valores!$F$13,Valores!$F$13,Valores!$C$13*B271)</f>
        <v>55856.266666666663</v>
      </c>
      <c r="AG271" s="113">
        <f>IF((Valores!$C$59/20*B271)&gt;Valores!$C$59,Valores!$C$59,Valores!$C$59/20*B271)</f>
        <v>25000</v>
      </c>
      <c r="AH271" s="113">
        <f t="shared" si="45"/>
        <v>80856.266666666663</v>
      </c>
      <c r="AI271" s="113">
        <f>AE271*Valores!$C$39</f>
        <v>-68508.337810000012</v>
      </c>
      <c r="AJ271" s="113">
        <f>IF(AE271&lt;Valores!$E$40,-0.02,IF(AE271&lt;Valores!$F$40,-0.03,-0.04))*AE271</f>
        <v>-12456.061420000002</v>
      </c>
      <c r="AK271" s="113">
        <f>AE271*Valores!$C$42</f>
        <v>-34254.168905000006</v>
      </c>
      <c r="AL271" s="113">
        <f>Valores!$C$56</f>
        <v>-1270.1600000000001</v>
      </c>
      <c r="AM271" s="113">
        <f>IF($F$5=0,Valores!$C$57,(Valores!$C$57+$F$5*(Valores!$C$57)))</f>
        <v>-7026</v>
      </c>
      <c r="AN271" s="113">
        <f t="shared" si="50"/>
        <v>580144.60953166673</v>
      </c>
      <c r="AO271" s="113">
        <f t="shared" si="44"/>
        <v>-68508.337810000012</v>
      </c>
      <c r="AP271" s="113">
        <f t="shared" si="51"/>
        <v>-12456.061420000002</v>
      </c>
      <c r="AQ271" s="113">
        <f>AE271*Valores!$C$43</f>
        <v>-16815.682917000002</v>
      </c>
      <c r="AR271" s="113">
        <f>AE271*Valores!$C$44</f>
        <v>-1868.4092130000004</v>
      </c>
      <c r="AS271" s="113">
        <f t="shared" si="46"/>
        <v>604010.84630666685</v>
      </c>
      <c r="AT271" s="113">
        <f>AE271*Valores!$C$46</f>
        <v>99648.491360000015</v>
      </c>
      <c r="AU271" s="113">
        <f>AE271*Valores!$C$47</f>
        <v>43596.214970000015</v>
      </c>
      <c r="AV271" s="113">
        <f>AE271*Valores!$C$48</f>
        <v>6228.0307100000009</v>
      </c>
      <c r="AW271" s="113">
        <f>AE271*Valores!$C$50</f>
        <v>21798.107485000008</v>
      </c>
      <c r="AX271" s="113">
        <f>AE271*Valores!$C$52</f>
        <v>33631.365834000004</v>
      </c>
      <c r="AY271" s="113">
        <f>AE271*Valores!$C$51</f>
        <v>3736.8184260000007</v>
      </c>
      <c r="AZ271" s="114"/>
      <c r="BA271" s="114">
        <f t="shared" si="43"/>
        <v>23</v>
      </c>
      <c r="BB271" s="111" t="s">
        <v>8</v>
      </c>
    </row>
    <row r="272" spans="1:54" s="100" customFormat="1" ht="11.25" customHeight="1" x14ac:dyDescent="0.15">
      <c r="A272" s="111" t="s">
        <v>433</v>
      </c>
      <c r="B272" s="111">
        <v>23</v>
      </c>
      <c r="C272" s="114">
        <v>265</v>
      </c>
      <c r="D272" s="112" t="str">
        <f>CONCATENATE("Hora Cátedra Enseñanza Media ",B272," hs Esc Esp")</f>
        <v>Hora Cátedra Enseñanza Media 23 hs Esc Esp</v>
      </c>
      <c r="E272" s="169">
        <v>1817</v>
      </c>
      <c r="F272" s="113">
        <f>ROUND(E272*Valores!$C$2,2)</f>
        <v>177713.5</v>
      </c>
      <c r="G272" s="169">
        <v>0</v>
      </c>
      <c r="H272" s="113">
        <f>ROUND(G272*Valores!$C$2,2)</f>
        <v>0</v>
      </c>
      <c r="I272" s="169">
        <v>0</v>
      </c>
      <c r="J272" s="113">
        <f>ROUND(I272*Valores!$C$2,2)</f>
        <v>0</v>
      </c>
      <c r="K272" s="169">
        <v>0</v>
      </c>
      <c r="L272" s="113">
        <f>ROUND(K272*Valores!$C$2,2)</f>
        <v>0</v>
      </c>
      <c r="M272" s="113">
        <f>ROUND(IF($H$2=0,IF(AND(A272&lt;&gt;"13-930",A272&lt;&gt;"13-940"),(SUM(F272,H272,J272,L272,W272,S272,Q272)*Valores!$C$4),0),0),2)</f>
        <v>60471.91</v>
      </c>
      <c r="N272" s="113">
        <f t="shared" si="47"/>
        <v>0</v>
      </c>
      <c r="O272" s="113">
        <f>Valores!C$65*B272</f>
        <v>152981.51</v>
      </c>
      <c r="P272" s="113">
        <f>ROUND(IF((Valores!$E$5*B272)&lt;=Valores!$F$5,Valores!$E$5*B272,Valores!$F$5),2)</f>
        <v>74997.64</v>
      </c>
      <c r="Q272" s="113">
        <f>IF($F$4="NO",Valores!$C$28*B272,Valores!$C$28*B272/2)</f>
        <v>40181.919999999998</v>
      </c>
      <c r="R272" s="113">
        <f>Valores!$C$7*B272</f>
        <v>23992.22</v>
      </c>
      <c r="S272" s="113">
        <f t="shared" si="52"/>
        <v>23992.22</v>
      </c>
      <c r="T272" s="113">
        <v>0</v>
      </c>
      <c r="U272" s="113">
        <v>0</v>
      </c>
      <c r="V272" s="169">
        <v>0</v>
      </c>
      <c r="W272" s="113">
        <f>ROUND(V272*Valores!$C$2,2)</f>
        <v>0</v>
      </c>
      <c r="X272" s="113">
        <v>0</v>
      </c>
      <c r="Y272" s="188">
        <v>0</v>
      </c>
      <c r="Z272" s="113">
        <f t="shared" si="48"/>
        <v>0</v>
      </c>
      <c r="AA272" s="169">
        <v>94</v>
      </c>
      <c r="AB272" s="113">
        <f>ROUND(AA272*Valores!$C$2,2)</f>
        <v>9193.76</v>
      </c>
      <c r="AC272" s="113">
        <f>ROUND(IF($F$4="NO",Valores!$C$33*B272,Valores!$C$33*B272/2),2)</f>
        <v>35845.910000000003</v>
      </c>
      <c r="AD272" s="113">
        <f>SUM(F272,H272,J272,L272,M272,N272,O272,P272,Q272,S272,T272,U272,W272,X272,Z272,AB272,AC272)*Valores!$C$58</f>
        <v>57537.837000000014</v>
      </c>
      <c r="AE272" s="113">
        <f t="shared" si="49"/>
        <v>632916.20700000017</v>
      </c>
      <c r="AF272" s="113">
        <f>IF(Valores!$C$13*B272&gt;Valores!$F$13,Valores!$F$13,Valores!$C$13*B272)</f>
        <v>55856.266666666663</v>
      </c>
      <c r="AG272" s="113">
        <f>IF((Valores!$C$59/20*B272)&gt;Valores!$C$59,Valores!$C$59,Valores!$C$59/20*B272)</f>
        <v>25000</v>
      </c>
      <c r="AH272" s="113">
        <f t="shared" si="45"/>
        <v>80856.266666666663</v>
      </c>
      <c r="AI272" s="113">
        <f>AE272*Valores!$C$39</f>
        <v>-69620.78277000002</v>
      </c>
      <c r="AJ272" s="113">
        <f>IF(AE272&lt;Valores!$E$40,-0.02,IF(AE272&lt;Valores!$F$40,-0.03,-0.04))*AE272</f>
        <v>-12658.324140000004</v>
      </c>
      <c r="AK272" s="113">
        <f>AE272*Valores!$C$42</f>
        <v>-34810.39138500001</v>
      </c>
      <c r="AL272" s="113">
        <f>Valores!$C$56</f>
        <v>-1270.1600000000001</v>
      </c>
      <c r="AM272" s="113">
        <f>IF($F$5=0,Valores!$C$57,(Valores!$C$57+$F$5*(Valores!$C$57)))</f>
        <v>-7026</v>
      </c>
      <c r="AN272" s="113">
        <f t="shared" si="50"/>
        <v>588386.8153716668</v>
      </c>
      <c r="AO272" s="113">
        <f t="shared" si="44"/>
        <v>-69620.78277000002</v>
      </c>
      <c r="AP272" s="113">
        <f t="shared" si="51"/>
        <v>-12658.324140000004</v>
      </c>
      <c r="AQ272" s="113">
        <f>AE272*Valores!$C$43</f>
        <v>-17088.737589000004</v>
      </c>
      <c r="AR272" s="113">
        <f>AE272*Valores!$C$44</f>
        <v>-1898.7486210000006</v>
      </c>
      <c r="AS272" s="113">
        <f t="shared" si="46"/>
        <v>612505.88054666668</v>
      </c>
      <c r="AT272" s="113">
        <f>AE272*Valores!$C$46</f>
        <v>101266.59312000003</v>
      </c>
      <c r="AU272" s="113">
        <f>AE272*Valores!$C$47</f>
        <v>44304.134490000019</v>
      </c>
      <c r="AV272" s="113">
        <f>AE272*Valores!$C$48</f>
        <v>6329.1620700000021</v>
      </c>
      <c r="AW272" s="113">
        <f>AE272*Valores!$C$50</f>
        <v>22152.067245000009</v>
      </c>
      <c r="AX272" s="113">
        <f>AE272*Valores!$C$52</f>
        <v>34177.475178000008</v>
      </c>
      <c r="AY272" s="113">
        <f>AE272*Valores!$C$51</f>
        <v>3797.4972420000013</v>
      </c>
      <c r="AZ272" s="114"/>
      <c r="BA272" s="114">
        <f t="shared" si="43"/>
        <v>23</v>
      </c>
      <c r="BB272" s="111" t="s">
        <v>8</v>
      </c>
    </row>
    <row r="273" spans="1:54" s="100" customFormat="1" ht="11.25" customHeight="1" x14ac:dyDescent="0.15">
      <c r="A273" s="111" t="s">
        <v>433</v>
      </c>
      <c r="B273" s="111">
        <v>24</v>
      </c>
      <c r="C273" s="114">
        <v>266</v>
      </c>
      <c r="D273" s="112" t="str">
        <f>CONCATENATE("Hora Cátedra Enseñanza Media ",B273," hs")</f>
        <v>Hora Cátedra Enseñanza Media 24 hs</v>
      </c>
      <c r="E273" s="169">
        <v>1896</v>
      </c>
      <c r="F273" s="113">
        <f>ROUND(E273*Valores!$C$2,2)</f>
        <v>185440.18</v>
      </c>
      <c r="G273" s="169">
        <v>0</v>
      </c>
      <c r="H273" s="113">
        <f>ROUND(G273*Valores!$C$2,2)</f>
        <v>0</v>
      </c>
      <c r="I273" s="169">
        <v>0</v>
      </c>
      <c r="J273" s="113">
        <f>ROUND(I273*Valores!$C$2,2)</f>
        <v>0</v>
      </c>
      <c r="K273" s="169">
        <v>0</v>
      </c>
      <c r="L273" s="113">
        <f>ROUND(K273*Valores!$C$2,2)</f>
        <v>0</v>
      </c>
      <c r="M273" s="113">
        <f>ROUND(IF($H$2=0,IF(AND(A273&lt;&gt;"13-930",A273&lt;&gt;"13-940"),(SUM(F273,H273,J273,L273,W273,S273,Q273)*Valores!$C$4),0),0),2)</f>
        <v>63101.13</v>
      </c>
      <c r="N273" s="113">
        <f t="shared" si="47"/>
        <v>0</v>
      </c>
      <c r="O273" s="113">
        <f>Valores!C$65*B273</f>
        <v>159632.88</v>
      </c>
      <c r="P273" s="113">
        <f>ROUND(IF((Valores!$E$5*B273)&lt;=Valores!$F$5,Valores!$E$5*B273,Valores!$F$5),2)</f>
        <v>74997.64</v>
      </c>
      <c r="Q273" s="113">
        <f>IF($F$4="NO",Valores!$C$28*B273,Valores!$C$28*B273/2)</f>
        <v>41928.959999999999</v>
      </c>
      <c r="R273" s="113">
        <f>Valores!$C$7*B273</f>
        <v>25035.360000000001</v>
      </c>
      <c r="S273" s="113">
        <f t="shared" si="52"/>
        <v>25035.360000000001</v>
      </c>
      <c r="T273" s="113">
        <v>0</v>
      </c>
      <c r="U273" s="113">
        <v>0</v>
      </c>
      <c r="V273" s="169">
        <v>0</v>
      </c>
      <c r="W273" s="113">
        <f>ROUND(V273*Valores!$C$2,2)</f>
        <v>0</v>
      </c>
      <c r="X273" s="113">
        <v>0</v>
      </c>
      <c r="Y273" s="188">
        <v>0</v>
      </c>
      <c r="Z273" s="113">
        <f t="shared" si="48"/>
        <v>0</v>
      </c>
      <c r="AA273" s="169">
        <v>0</v>
      </c>
      <c r="AB273" s="113">
        <f>ROUND(AA273*Valores!$C$2,2)</f>
        <v>0</v>
      </c>
      <c r="AC273" s="113">
        <f>ROUND(IF($F$4="NO",Valores!$C$33*B273,Valores!$C$33*B273/2),2)</f>
        <v>37404.43</v>
      </c>
      <c r="AD273" s="113">
        <f>SUM(F273,H273,J273,L273,M273,N273,O273,P273,Q273,S273,T273,U273,W273,X273,Z273,AB273,AC273)*Valores!$C$58</f>
        <v>58754.058000000012</v>
      </c>
      <c r="AE273" s="113">
        <f t="shared" si="49"/>
        <v>646294.63800000004</v>
      </c>
      <c r="AF273" s="113">
        <f>IF(Valores!$C$13*B273&gt;Valores!$F$13,Valores!$F$13,Valores!$C$13*B273)</f>
        <v>58284.800000000003</v>
      </c>
      <c r="AG273" s="113">
        <f>IF((Valores!$C$59/20*B273)&gt;Valores!$C$59,Valores!$C$59,Valores!$C$59/20*B273)</f>
        <v>25000</v>
      </c>
      <c r="AH273" s="113">
        <f t="shared" si="45"/>
        <v>83284.800000000003</v>
      </c>
      <c r="AI273" s="113">
        <f>AE273*Valores!$C$39</f>
        <v>-71092.410180000006</v>
      </c>
      <c r="AJ273" s="113">
        <f>IF(AE273&lt;Valores!$E$40,-0.02,IF(AE273&lt;Valores!$F$40,-0.03,-0.04))*AE273</f>
        <v>-12925.892760000001</v>
      </c>
      <c r="AK273" s="113">
        <f>AE273*Valores!$C$42</f>
        <v>-35546.205090000003</v>
      </c>
      <c r="AL273" s="113">
        <f>Valores!$C$56</f>
        <v>-1270.1600000000001</v>
      </c>
      <c r="AM273" s="113">
        <f>IF($F$5=0,Valores!$C$57,(Valores!$C$57+$F$5*(Valores!$C$57)))</f>
        <v>-7026</v>
      </c>
      <c r="AN273" s="113">
        <f t="shared" si="50"/>
        <v>601718.76997000002</v>
      </c>
      <c r="AO273" s="113">
        <f t="shared" si="44"/>
        <v>-71092.410180000006</v>
      </c>
      <c r="AP273" s="113">
        <f t="shared" si="51"/>
        <v>-12925.892760000001</v>
      </c>
      <c r="AQ273" s="113">
        <f>AE273*Valores!$C$43</f>
        <v>-17449.955226000002</v>
      </c>
      <c r="AR273" s="113">
        <f>AE273*Valores!$C$44</f>
        <v>-1938.8839140000002</v>
      </c>
      <c r="AS273" s="113">
        <f t="shared" si="46"/>
        <v>626172.29592000006</v>
      </c>
      <c r="AT273" s="113">
        <f>AE273*Valores!$C$46</f>
        <v>103407.14208000001</v>
      </c>
      <c r="AU273" s="113">
        <f>AE273*Valores!$C$47</f>
        <v>45240.624660000009</v>
      </c>
      <c r="AV273" s="113">
        <f>AE273*Valores!$C$48</f>
        <v>6462.9463800000003</v>
      </c>
      <c r="AW273" s="113">
        <f>AE273*Valores!$C$50</f>
        <v>22620.312330000004</v>
      </c>
      <c r="AX273" s="113">
        <f>AE273*Valores!$C$52</f>
        <v>34899.910452000004</v>
      </c>
      <c r="AY273" s="113">
        <f>AE273*Valores!$C$51</f>
        <v>3877.7678280000005</v>
      </c>
      <c r="AZ273" s="114"/>
      <c r="BA273" s="114">
        <f t="shared" si="43"/>
        <v>24</v>
      </c>
      <c r="BB273" s="111" t="s">
        <v>8</v>
      </c>
    </row>
    <row r="274" spans="1:54" s="100" customFormat="1" ht="11.25" customHeight="1" x14ac:dyDescent="0.15">
      <c r="A274" s="111" t="s">
        <v>433</v>
      </c>
      <c r="B274" s="111">
        <v>24</v>
      </c>
      <c r="C274" s="114">
        <v>267</v>
      </c>
      <c r="D274" s="112" t="str">
        <f>CONCATENATE("Hora Cátedra Enseñanza Media ",B274," hs Esc Esp")</f>
        <v>Hora Cátedra Enseñanza Media 24 hs Esc Esp</v>
      </c>
      <c r="E274" s="169">
        <v>1896</v>
      </c>
      <c r="F274" s="113">
        <f>ROUND(E274*Valores!$C$2,2)</f>
        <v>185440.18</v>
      </c>
      <c r="G274" s="169">
        <v>0</v>
      </c>
      <c r="H274" s="113">
        <f>ROUND(G274*Valores!$C$2,2)</f>
        <v>0</v>
      </c>
      <c r="I274" s="169">
        <v>0</v>
      </c>
      <c r="J274" s="113">
        <f>ROUND(I274*Valores!$C$2,2)</f>
        <v>0</v>
      </c>
      <c r="K274" s="169">
        <v>0</v>
      </c>
      <c r="L274" s="113">
        <f>ROUND(K274*Valores!$C$2,2)</f>
        <v>0</v>
      </c>
      <c r="M274" s="113">
        <f>ROUND(IF($H$2=0,IF(AND(A274&lt;&gt;"13-930",A274&lt;&gt;"13-940"),(SUM(F274,H274,J274,L274,W274,S274,Q274)*Valores!$C$4),0),0),2)</f>
        <v>63101.13</v>
      </c>
      <c r="N274" s="113">
        <f t="shared" si="47"/>
        <v>0</v>
      </c>
      <c r="O274" s="113">
        <f>Valores!C$65*B274</f>
        <v>159632.88</v>
      </c>
      <c r="P274" s="113">
        <f>ROUND(IF((Valores!$E$5*B274)&lt;=Valores!$F$5,Valores!$E$5*B274,Valores!$F$5),2)</f>
        <v>74997.64</v>
      </c>
      <c r="Q274" s="113">
        <f>IF($F$4="NO",Valores!$C$28*B274,Valores!$C$28*B274/2)</f>
        <v>41928.959999999999</v>
      </c>
      <c r="R274" s="113">
        <f>Valores!$C$7*B274</f>
        <v>25035.360000000001</v>
      </c>
      <c r="S274" s="113">
        <f t="shared" si="52"/>
        <v>25035.360000000001</v>
      </c>
      <c r="T274" s="113">
        <v>0</v>
      </c>
      <c r="U274" s="113">
        <v>0</v>
      </c>
      <c r="V274" s="169">
        <v>0</v>
      </c>
      <c r="W274" s="113">
        <f>ROUND(V274*Valores!$C$2,2)</f>
        <v>0</v>
      </c>
      <c r="X274" s="113">
        <v>0</v>
      </c>
      <c r="Y274" s="188">
        <v>0</v>
      </c>
      <c r="Z274" s="113">
        <f t="shared" si="48"/>
        <v>0</v>
      </c>
      <c r="AA274" s="169">
        <v>94</v>
      </c>
      <c r="AB274" s="113">
        <f>ROUND(AA274*Valores!$C$2,2)</f>
        <v>9193.76</v>
      </c>
      <c r="AC274" s="113">
        <f>ROUND(IF($F$4="NO",Valores!$C$33*B274,Valores!$C$33*B274/2),2)</f>
        <v>37404.43</v>
      </c>
      <c r="AD274" s="113">
        <f>SUM(F274,H274,J274,L274,M274,N274,O274,P274,Q274,S274,T274,U274,W274,X274,Z274,AB274,AC274)*Valores!$C$58</f>
        <v>59673.434000000008</v>
      </c>
      <c r="AE274" s="113">
        <f t="shared" si="49"/>
        <v>656407.77400000009</v>
      </c>
      <c r="AF274" s="113">
        <f>IF(Valores!$C$13*B274&gt;Valores!$F$13,Valores!$F$13,Valores!$C$13*B274)</f>
        <v>58284.800000000003</v>
      </c>
      <c r="AG274" s="113">
        <f>IF((Valores!$C$59/20*B274)&gt;Valores!$C$59,Valores!$C$59,Valores!$C$59/20*B274)</f>
        <v>25000</v>
      </c>
      <c r="AH274" s="113">
        <f t="shared" si="45"/>
        <v>83284.800000000003</v>
      </c>
      <c r="AI274" s="113">
        <f>AE274*Valores!$C$39</f>
        <v>-72204.855140000014</v>
      </c>
      <c r="AJ274" s="113">
        <f>IF(AE274&lt;Valores!$E$40,-0.02,IF(AE274&lt;Valores!$F$40,-0.03,-0.04))*AE274</f>
        <v>-13128.155480000001</v>
      </c>
      <c r="AK274" s="113">
        <f>AE274*Valores!$C$42</f>
        <v>-36102.427570000007</v>
      </c>
      <c r="AL274" s="113">
        <f>Valores!$C$56</f>
        <v>-1270.1600000000001</v>
      </c>
      <c r="AM274" s="113">
        <f>IF($F$5=0,Valores!$C$57,(Valores!$C$57+$F$5*(Valores!$C$57)))</f>
        <v>-7026</v>
      </c>
      <c r="AN274" s="113">
        <f t="shared" si="50"/>
        <v>609960.97581000009</v>
      </c>
      <c r="AO274" s="113">
        <f t="shared" si="44"/>
        <v>-72204.855140000014</v>
      </c>
      <c r="AP274" s="113">
        <f t="shared" si="51"/>
        <v>-13128.155480000001</v>
      </c>
      <c r="AQ274" s="113">
        <f>AE274*Valores!$C$43</f>
        <v>-17723.009898000004</v>
      </c>
      <c r="AR274" s="113">
        <f>AE274*Valores!$C$44</f>
        <v>-1969.2233220000003</v>
      </c>
      <c r="AS274" s="113">
        <f t="shared" si="46"/>
        <v>634667.33016000013</v>
      </c>
      <c r="AT274" s="113">
        <f>AE274*Valores!$C$46</f>
        <v>105025.24384000001</v>
      </c>
      <c r="AU274" s="113">
        <f>AE274*Valores!$C$47</f>
        <v>45948.544180000012</v>
      </c>
      <c r="AV274" s="113">
        <f>AE274*Valores!$C$48</f>
        <v>6564.0777400000006</v>
      </c>
      <c r="AW274" s="113">
        <f>AE274*Valores!$C$50</f>
        <v>22974.272090000006</v>
      </c>
      <c r="AX274" s="113">
        <f>AE274*Valores!$C$52</f>
        <v>35446.019796000008</v>
      </c>
      <c r="AY274" s="113">
        <f>AE274*Valores!$C$51</f>
        <v>3938.4466440000006</v>
      </c>
      <c r="AZ274" s="114"/>
      <c r="BA274" s="114">
        <f t="shared" si="43"/>
        <v>24</v>
      </c>
      <c r="BB274" s="111" t="s">
        <v>8</v>
      </c>
    </row>
    <row r="275" spans="1:54" s="100" customFormat="1" ht="11.25" customHeight="1" x14ac:dyDescent="0.15">
      <c r="A275" s="111" t="s">
        <v>433</v>
      </c>
      <c r="B275" s="111">
        <v>25</v>
      </c>
      <c r="C275" s="114">
        <v>268</v>
      </c>
      <c r="D275" s="112" t="str">
        <f>CONCATENATE("Hora Cátedra Enseñanza Media ",B275," hs")</f>
        <v>Hora Cátedra Enseñanza Media 25 hs</v>
      </c>
      <c r="E275" s="169">
        <v>1975</v>
      </c>
      <c r="F275" s="113">
        <f>ROUND(E275*Valores!$C$2,2)</f>
        <v>193166.85</v>
      </c>
      <c r="G275" s="169">
        <v>0</v>
      </c>
      <c r="H275" s="113">
        <f>ROUND(G275*Valores!$C$2,2)</f>
        <v>0</v>
      </c>
      <c r="I275" s="169">
        <v>0</v>
      </c>
      <c r="J275" s="113">
        <f>ROUND(I275*Valores!$C$2,2)</f>
        <v>0</v>
      </c>
      <c r="K275" s="169">
        <v>0</v>
      </c>
      <c r="L275" s="113">
        <f>ROUND(K275*Valores!$C$2,2)</f>
        <v>0</v>
      </c>
      <c r="M275" s="113">
        <f>ROUND(IF($H$2=0,IF(AND(A275&lt;&gt;"13-930",A275&lt;&gt;"13-940"),(SUM(F275,H275,J275,L275,W275,S275,Q275)*Valores!$C$4),0),0),2)</f>
        <v>65730.34</v>
      </c>
      <c r="N275" s="113">
        <f t="shared" si="47"/>
        <v>0</v>
      </c>
      <c r="O275" s="113">
        <f>Valores!C$65*B275</f>
        <v>166284.25</v>
      </c>
      <c r="P275" s="113">
        <f>ROUND(IF((Valores!$E$5*B275)&lt;=Valores!$F$5,Valores!$E$5*B275,Valores!$F$5),2)</f>
        <v>74997.64</v>
      </c>
      <c r="Q275" s="113">
        <f>IF($F$4="NO",Valores!$C$28*B275,Valores!$C$28*B275/2)</f>
        <v>43676</v>
      </c>
      <c r="R275" s="113">
        <f>Valores!$C$7*B275</f>
        <v>26078.500000000004</v>
      </c>
      <c r="S275" s="113">
        <f t="shared" si="52"/>
        <v>26078.5</v>
      </c>
      <c r="T275" s="113">
        <v>0</v>
      </c>
      <c r="U275" s="113">
        <v>0</v>
      </c>
      <c r="V275" s="169">
        <v>0</v>
      </c>
      <c r="W275" s="113">
        <f>ROUND(V275*Valores!$C$2,2)</f>
        <v>0</v>
      </c>
      <c r="X275" s="113">
        <v>0</v>
      </c>
      <c r="Y275" s="188">
        <v>0</v>
      </c>
      <c r="Z275" s="113">
        <f t="shared" si="48"/>
        <v>0</v>
      </c>
      <c r="AA275" s="169">
        <v>0</v>
      </c>
      <c r="AB275" s="113">
        <f>ROUND(AA275*Valores!$C$2,2)</f>
        <v>0</v>
      </c>
      <c r="AC275" s="113">
        <f>ROUND(IF($F$4="NO",Valores!$C$33*B275,Valores!$C$33*B275/2),2)</f>
        <v>38962.949999999997</v>
      </c>
      <c r="AD275" s="113">
        <f>SUM(F275,H275,J275,L275,M275,N275,O275,P275,Q275,S275,T275,U275,W275,X275,Z275,AB275,AC275)*Valores!$C$58</f>
        <v>60889.653000000006</v>
      </c>
      <c r="AE275" s="113">
        <f t="shared" si="49"/>
        <v>669786.18300000008</v>
      </c>
      <c r="AF275" s="113">
        <f>IF(Valores!$C$13*B275&gt;Valores!$F$13,Valores!$F$13,Valores!$C$13*B275)</f>
        <v>60713.333333333336</v>
      </c>
      <c r="AG275" s="113">
        <f>IF((Valores!$C$59/20*B275)&gt;Valores!$C$59,Valores!$C$59,Valores!$C$59/20*B275)</f>
        <v>25000</v>
      </c>
      <c r="AH275" s="113">
        <f t="shared" si="45"/>
        <v>85713.333333333343</v>
      </c>
      <c r="AI275" s="113">
        <f>AE275*Valores!$C$39</f>
        <v>-73676.480130000011</v>
      </c>
      <c r="AJ275" s="113">
        <f>IF(AE275&lt;Valores!$E$40,-0.02,IF(AE275&lt;Valores!$F$40,-0.03,-0.04))*AE275</f>
        <v>-13395.723660000001</v>
      </c>
      <c r="AK275" s="113">
        <f>AE275*Valores!$C$42</f>
        <v>-36838.240065000005</v>
      </c>
      <c r="AL275" s="113">
        <f>Valores!$C$56</f>
        <v>-1270.1600000000001</v>
      </c>
      <c r="AM275" s="113">
        <f>IF($F$5=0,Valores!$C$57,(Valores!$C$57+$F$5*(Valores!$C$57)))</f>
        <v>-7026</v>
      </c>
      <c r="AN275" s="113">
        <f t="shared" si="50"/>
        <v>623292.91247833334</v>
      </c>
      <c r="AO275" s="113">
        <f t="shared" si="44"/>
        <v>-73676.480130000011</v>
      </c>
      <c r="AP275" s="113">
        <f t="shared" si="51"/>
        <v>-13395.723660000001</v>
      </c>
      <c r="AQ275" s="113">
        <f>AE275*Valores!$C$43</f>
        <v>-18084.226941000001</v>
      </c>
      <c r="AR275" s="113">
        <f>AE275*Valores!$C$44</f>
        <v>-2009.3585490000003</v>
      </c>
      <c r="AS275" s="113">
        <f t="shared" si="46"/>
        <v>648333.72705333342</v>
      </c>
      <c r="AT275" s="113">
        <f>AE275*Valores!$C$46</f>
        <v>107165.78928000001</v>
      </c>
      <c r="AU275" s="113">
        <f>AE275*Valores!$C$47</f>
        <v>46885.032810000012</v>
      </c>
      <c r="AV275" s="113">
        <f>AE275*Valores!$C$48</f>
        <v>6697.8618300000007</v>
      </c>
      <c r="AW275" s="113">
        <f>AE275*Valores!$C$50</f>
        <v>23442.516405000006</v>
      </c>
      <c r="AX275" s="113">
        <f>AE275*Valores!$C$52</f>
        <v>36168.453882000002</v>
      </c>
      <c r="AY275" s="113">
        <f>AE275*Valores!$C$51</f>
        <v>4018.7170980000005</v>
      </c>
      <c r="AZ275" s="114"/>
      <c r="BA275" s="114">
        <f t="shared" si="43"/>
        <v>25</v>
      </c>
      <c r="BB275" s="111" t="s">
        <v>4</v>
      </c>
    </row>
    <row r="276" spans="1:54" s="100" customFormat="1" ht="11.25" customHeight="1" x14ac:dyDescent="0.15">
      <c r="A276" s="111" t="s">
        <v>433</v>
      </c>
      <c r="B276" s="111">
        <v>25</v>
      </c>
      <c r="C276" s="114">
        <v>269</v>
      </c>
      <c r="D276" s="112" t="str">
        <f>CONCATENATE("Hora Cátedra Enseñanza Media ",B276," hs Esc Esp")</f>
        <v>Hora Cátedra Enseñanza Media 25 hs Esc Esp</v>
      </c>
      <c r="E276" s="169">
        <v>1975</v>
      </c>
      <c r="F276" s="113">
        <f>ROUND(E276*Valores!$C$2,2)</f>
        <v>193166.85</v>
      </c>
      <c r="G276" s="169">
        <v>0</v>
      </c>
      <c r="H276" s="113">
        <f>ROUND(G276*Valores!$C$2,2)</f>
        <v>0</v>
      </c>
      <c r="I276" s="169">
        <v>0</v>
      </c>
      <c r="J276" s="113">
        <f>ROUND(I276*Valores!$C$2,2)</f>
        <v>0</v>
      </c>
      <c r="K276" s="169">
        <v>0</v>
      </c>
      <c r="L276" s="113">
        <f>ROUND(K276*Valores!$C$2,2)</f>
        <v>0</v>
      </c>
      <c r="M276" s="113">
        <f>ROUND(IF($H$2=0,IF(AND(A276&lt;&gt;"13-930",A276&lt;&gt;"13-940"),(SUM(F276,H276,J276,L276,W276,S276,Q276)*Valores!$C$4),0),0),2)</f>
        <v>65730.34</v>
      </c>
      <c r="N276" s="113">
        <f t="shared" si="47"/>
        <v>0</v>
      </c>
      <c r="O276" s="113">
        <f>Valores!C$65*B276</f>
        <v>166284.25</v>
      </c>
      <c r="P276" s="113">
        <f>ROUND(IF((Valores!$E$5*B276)&lt;=Valores!$F$5,Valores!$E$5*B276,Valores!$F$5),2)</f>
        <v>74997.64</v>
      </c>
      <c r="Q276" s="113">
        <f>IF($F$4="NO",Valores!$C$28*B276,Valores!$C$28*B276/2)</f>
        <v>43676</v>
      </c>
      <c r="R276" s="113">
        <f>Valores!$C$7*B276</f>
        <v>26078.500000000004</v>
      </c>
      <c r="S276" s="113">
        <f t="shared" si="52"/>
        <v>26078.5</v>
      </c>
      <c r="T276" s="113">
        <v>0</v>
      </c>
      <c r="U276" s="113">
        <v>0</v>
      </c>
      <c r="V276" s="169">
        <v>0</v>
      </c>
      <c r="W276" s="113">
        <f>ROUND(V276*Valores!$C$2,2)</f>
        <v>0</v>
      </c>
      <c r="X276" s="113">
        <v>0</v>
      </c>
      <c r="Y276" s="188">
        <v>0</v>
      </c>
      <c r="Z276" s="113">
        <f t="shared" si="48"/>
        <v>0</v>
      </c>
      <c r="AA276" s="169">
        <v>94</v>
      </c>
      <c r="AB276" s="113">
        <f>ROUND(AA276*Valores!$C$2,2)</f>
        <v>9193.76</v>
      </c>
      <c r="AC276" s="113">
        <f>ROUND(IF($F$4="NO",Valores!$C$33*B276,Valores!$C$33*B276/2),2)</f>
        <v>38962.949999999997</v>
      </c>
      <c r="AD276" s="113">
        <f>SUM(F276,H276,J276,L276,M276,N276,O276,P276,Q276,S276,T276,U276,W276,X276,Z276,AB276,AC276)*Valores!$C$58</f>
        <v>61809.02900000001</v>
      </c>
      <c r="AE276" s="113">
        <f t="shared" si="49"/>
        <v>679899.31900000002</v>
      </c>
      <c r="AF276" s="113">
        <f>IF(Valores!$C$13*B276&gt;Valores!$F$13,Valores!$F$13,Valores!$C$13*B276)</f>
        <v>60713.333333333336</v>
      </c>
      <c r="AG276" s="113">
        <f>IF((Valores!$C$59/20*B276)&gt;Valores!$C$59,Valores!$C$59,Valores!$C$59/20*B276)</f>
        <v>25000</v>
      </c>
      <c r="AH276" s="113">
        <f t="shared" si="45"/>
        <v>85713.333333333343</v>
      </c>
      <c r="AI276" s="113">
        <f>AE276*Valores!$C$39</f>
        <v>-74788.925090000004</v>
      </c>
      <c r="AJ276" s="113">
        <f>IF(AE276&lt;Valores!$E$40,-0.02,IF(AE276&lt;Valores!$F$40,-0.03,-0.04))*AE276</f>
        <v>-13597.98638</v>
      </c>
      <c r="AK276" s="113">
        <f>AE276*Valores!$C$42</f>
        <v>-37394.462545000002</v>
      </c>
      <c r="AL276" s="113">
        <f>Valores!$C$56</f>
        <v>-1270.1600000000001</v>
      </c>
      <c r="AM276" s="113">
        <f>IF($F$5=0,Valores!$C$57,(Valores!$C$57+$F$5*(Valores!$C$57)))</f>
        <v>-7026</v>
      </c>
      <c r="AN276" s="113">
        <f t="shared" si="50"/>
        <v>631535.11831833329</v>
      </c>
      <c r="AO276" s="113">
        <f t="shared" si="44"/>
        <v>-74788.925090000004</v>
      </c>
      <c r="AP276" s="113">
        <f t="shared" si="51"/>
        <v>-13597.98638</v>
      </c>
      <c r="AQ276" s="113">
        <f>AE276*Valores!$C$43</f>
        <v>-18357.281612999999</v>
      </c>
      <c r="AR276" s="113">
        <f>AE276*Valores!$C$44</f>
        <v>-2039.6979570000001</v>
      </c>
      <c r="AS276" s="113">
        <f t="shared" si="46"/>
        <v>656828.76129333337</v>
      </c>
      <c r="AT276" s="113">
        <f>AE276*Valores!$C$46</f>
        <v>108783.89104</v>
      </c>
      <c r="AU276" s="113">
        <f>AE276*Valores!$C$47</f>
        <v>47592.952330000007</v>
      </c>
      <c r="AV276" s="113">
        <f>AE276*Valores!$C$48</f>
        <v>6798.9931900000001</v>
      </c>
      <c r="AW276" s="113">
        <f>AE276*Valores!$C$50</f>
        <v>23796.476165000004</v>
      </c>
      <c r="AX276" s="113">
        <f>AE276*Valores!$C$52</f>
        <v>36714.563225999998</v>
      </c>
      <c r="AY276" s="113">
        <f>AE276*Valores!$C$51</f>
        <v>4079.3959140000002</v>
      </c>
      <c r="AZ276" s="114"/>
      <c r="BA276" s="114">
        <f t="shared" si="43"/>
        <v>25</v>
      </c>
      <c r="BB276" s="111" t="s">
        <v>4</v>
      </c>
    </row>
    <row r="277" spans="1:54" s="100" customFormat="1" ht="11.25" customHeight="1" x14ac:dyDescent="0.15">
      <c r="A277" s="111" t="s">
        <v>433</v>
      </c>
      <c r="B277" s="111">
        <v>26</v>
      </c>
      <c r="C277" s="114">
        <v>270</v>
      </c>
      <c r="D277" s="112" t="str">
        <f>CONCATENATE("Hora Cátedra Enseñanza Media ",B277," hs")</f>
        <v>Hora Cátedra Enseñanza Media 26 hs</v>
      </c>
      <c r="E277" s="169">
        <v>2054</v>
      </c>
      <c r="F277" s="113">
        <f>ROUND(E277*Valores!$C$2,2)</f>
        <v>200893.52</v>
      </c>
      <c r="G277" s="169">
        <v>0</v>
      </c>
      <c r="H277" s="113">
        <f>ROUND(G277*Valores!$C$2,2)</f>
        <v>0</v>
      </c>
      <c r="I277" s="169">
        <v>0</v>
      </c>
      <c r="J277" s="113">
        <f>ROUND(I277*Valores!$C$2,2)</f>
        <v>0</v>
      </c>
      <c r="K277" s="169">
        <v>0</v>
      </c>
      <c r="L277" s="113">
        <f>ROUND(K277*Valores!$C$2,2)</f>
        <v>0</v>
      </c>
      <c r="M277" s="113">
        <f>ROUND(IF($H$2=0,IF(AND(A277&lt;&gt;"13-930",A277&lt;&gt;"13-940"),(SUM(F277,H277,J277,L277,W277,S277,Q277)*Valores!$C$4),0),0),2)</f>
        <v>68359.55</v>
      </c>
      <c r="N277" s="113">
        <f t="shared" si="47"/>
        <v>0</v>
      </c>
      <c r="O277" s="113">
        <f>Valores!C$65*B277</f>
        <v>172935.62</v>
      </c>
      <c r="P277" s="113">
        <f>ROUND(IF((Valores!$E$5*B277)&lt;=Valores!$F$5,Valores!$E$5*B277,Valores!$F$5),2)</f>
        <v>74997.64</v>
      </c>
      <c r="Q277" s="113">
        <f>IF($F$4="NO",Valores!$C$28*B277,Valores!$C$28*B277/2)</f>
        <v>45423.040000000001</v>
      </c>
      <c r="R277" s="113">
        <f>Valores!$C$7*B277</f>
        <v>27121.640000000003</v>
      </c>
      <c r="S277" s="113">
        <f t="shared" si="52"/>
        <v>27121.64</v>
      </c>
      <c r="T277" s="113">
        <v>0</v>
      </c>
      <c r="U277" s="113">
        <v>0</v>
      </c>
      <c r="V277" s="169">
        <v>0</v>
      </c>
      <c r="W277" s="113">
        <f>ROUND(V277*Valores!$C$2,2)</f>
        <v>0</v>
      </c>
      <c r="X277" s="113">
        <v>0</v>
      </c>
      <c r="Y277" s="188">
        <v>0</v>
      </c>
      <c r="Z277" s="113">
        <f t="shared" si="48"/>
        <v>0</v>
      </c>
      <c r="AA277" s="169">
        <v>0</v>
      </c>
      <c r="AB277" s="113">
        <f>ROUND(AA277*Valores!$C$2,2)</f>
        <v>0</v>
      </c>
      <c r="AC277" s="113">
        <f>ROUND(IF($F$4="NO",Valores!$C$33*B277,Valores!$C$33*B277/2),2)</f>
        <v>40521.47</v>
      </c>
      <c r="AD277" s="113">
        <f>SUM(F277,H277,J277,L277,M277,N277,O277,P277,Q277,S277,T277,U277,W277,X277,Z277,AB277,AC277)*Valores!$C$58</f>
        <v>63025.248</v>
      </c>
      <c r="AE277" s="113">
        <f t="shared" si="49"/>
        <v>693277.728</v>
      </c>
      <c r="AF277" s="113">
        <f>IF(Valores!$C$13*B277&gt;Valores!$F$13,Valores!$F$13,Valores!$C$13*B277)</f>
        <v>63141.866666666669</v>
      </c>
      <c r="AG277" s="113">
        <f>IF((Valores!$C$59/20*B277)&gt;Valores!$C$59,Valores!$C$59,Valores!$C$59/20*B277)</f>
        <v>25000</v>
      </c>
      <c r="AH277" s="113">
        <f t="shared" si="45"/>
        <v>88141.866666666669</v>
      </c>
      <c r="AI277" s="113">
        <f>AE277*Valores!$C$39</f>
        <v>-76260.550080000001</v>
      </c>
      <c r="AJ277" s="113">
        <f>IF(AE277&lt;Valores!$E$40,-0.02,IF(AE277&lt;Valores!$F$40,-0.03,-0.04))*AE277</f>
        <v>-13865.55456</v>
      </c>
      <c r="AK277" s="113">
        <f>AE277*Valores!$C$42</f>
        <v>-38130.27504</v>
      </c>
      <c r="AL277" s="113">
        <f>Valores!$C$56</f>
        <v>-1270.1600000000001</v>
      </c>
      <c r="AM277" s="113">
        <f>IF($F$5=0,Valores!$C$57,(Valores!$C$57+$F$5*(Valores!$C$57)))</f>
        <v>-7026</v>
      </c>
      <c r="AN277" s="113">
        <f t="shared" si="50"/>
        <v>644867.05498666666</v>
      </c>
      <c r="AO277" s="113">
        <f t="shared" si="44"/>
        <v>-76260.550080000001</v>
      </c>
      <c r="AP277" s="113">
        <f t="shared" si="51"/>
        <v>-13865.55456</v>
      </c>
      <c r="AQ277" s="113">
        <f>AE277*Valores!$C$43</f>
        <v>-18718.498656</v>
      </c>
      <c r="AR277" s="113">
        <f>AE277*Valores!$C$44</f>
        <v>-2079.8331840000001</v>
      </c>
      <c r="AS277" s="113">
        <f t="shared" si="46"/>
        <v>670495.15818666667</v>
      </c>
      <c r="AT277" s="113">
        <f>AE277*Valores!$C$46</f>
        <v>110924.43648</v>
      </c>
      <c r="AU277" s="113">
        <f>AE277*Valores!$C$47</f>
        <v>48529.440960000007</v>
      </c>
      <c r="AV277" s="113">
        <f>AE277*Valores!$C$48</f>
        <v>6932.7772800000002</v>
      </c>
      <c r="AW277" s="113">
        <f>AE277*Valores!$C$50</f>
        <v>24264.720480000004</v>
      </c>
      <c r="AX277" s="113">
        <f>AE277*Valores!$C$52</f>
        <v>37436.997312</v>
      </c>
      <c r="AY277" s="113">
        <f>AE277*Valores!$C$51</f>
        <v>4159.6663680000001</v>
      </c>
      <c r="AZ277" s="114"/>
      <c r="BA277" s="114">
        <f t="shared" si="43"/>
        <v>26</v>
      </c>
      <c r="BB277" s="111" t="s">
        <v>4</v>
      </c>
    </row>
    <row r="278" spans="1:54" s="100" customFormat="1" ht="11.25" customHeight="1" x14ac:dyDescent="0.15">
      <c r="A278" s="111" t="s">
        <v>433</v>
      </c>
      <c r="B278" s="111">
        <v>26</v>
      </c>
      <c r="C278" s="114">
        <v>271</v>
      </c>
      <c r="D278" s="112" t="str">
        <f>CONCATENATE("Hora Cátedra Enseñanza Media ",B278," hs Esc Esp")</f>
        <v>Hora Cátedra Enseñanza Media 26 hs Esc Esp</v>
      </c>
      <c r="E278" s="169">
        <v>2054</v>
      </c>
      <c r="F278" s="113">
        <f>ROUND(E278*Valores!$C$2,2)</f>
        <v>200893.52</v>
      </c>
      <c r="G278" s="169">
        <v>0</v>
      </c>
      <c r="H278" s="113">
        <f>ROUND(G278*Valores!$C$2,2)</f>
        <v>0</v>
      </c>
      <c r="I278" s="169">
        <v>0</v>
      </c>
      <c r="J278" s="113">
        <f>ROUND(I278*Valores!$C$2,2)</f>
        <v>0</v>
      </c>
      <c r="K278" s="169">
        <v>0</v>
      </c>
      <c r="L278" s="113">
        <f>ROUND(K278*Valores!$C$2,2)</f>
        <v>0</v>
      </c>
      <c r="M278" s="113">
        <f>ROUND(IF($H$2=0,IF(AND(A278&lt;&gt;"13-930",A278&lt;&gt;"13-940"),(SUM(F278,H278,J278,L278,W278,S278,Q278)*Valores!$C$4),0),0),2)</f>
        <v>68359.55</v>
      </c>
      <c r="N278" s="113">
        <f t="shared" si="47"/>
        <v>0</v>
      </c>
      <c r="O278" s="113">
        <f>Valores!C$65*B278</f>
        <v>172935.62</v>
      </c>
      <c r="P278" s="113">
        <f>ROUND(IF((Valores!$E$5*B278)&lt;=Valores!$F$5,Valores!$E$5*B278,Valores!$F$5),2)</f>
        <v>74997.64</v>
      </c>
      <c r="Q278" s="113">
        <f>IF($F$4="NO",Valores!$C$28*B278,Valores!$C$28*B278/2)</f>
        <v>45423.040000000001</v>
      </c>
      <c r="R278" s="113">
        <f>Valores!$C$7*B278</f>
        <v>27121.640000000003</v>
      </c>
      <c r="S278" s="113">
        <f t="shared" si="52"/>
        <v>27121.64</v>
      </c>
      <c r="T278" s="113">
        <v>0</v>
      </c>
      <c r="U278" s="113">
        <v>0</v>
      </c>
      <c r="V278" s="169">
        <v>0</v>
      </c>
      <c r="W278" s="113">
        <f>ROUND(V278*Valores!$C$2,2)</f>
        <v>0</v>
      </c>
      <c r="X278" s="113">
        <v>0</v>
      </c>
      <c r="Y278" s="188">
        <v>0</v>
      </c>
      <c r="Z278" s="113">
        <f t="shared" si="48"/>
        <v>0</v>
      </c>
      <c r="AA278" s="169">
        <v>94</v>
      </c>
      <c r="AB278" s="113">
        <f>ROUND(AA278*Valores!$C$2,2)</f>
        <v>9193.76</v>
      </c>
      <c r="AC278" s="113">
        <f>ROUND(IF($F$4="NO",Valores!$C$33*B278,Valores!$C$33*B278/2),2)</f>
        <v>40521.47</v>
      </c>
      <c r="AD278" s="113">
        <f>SUM(F278,H278,J278,L278,M278,N278,O278,P278,Q278,S278,T278,U278,W278,X278,Z278,AB278,AC278)*Valores!$C$58</f>
        <v>63944.624000000003</v>
      </c>
      <c r="AE278" s="113">
        <f t="shared" si="49"/>
        <v>703390.86399999994</v>
      </c>
      <c r="AF278" s="113">
        <f>IF(Valores!$C$13*B278&gt;Valores!$F$13,Valores!$F$13,Valores!$C$13*B278)</f>
        <v>63141.866666666669</v>
      </c>
      <c r="AG278" s="113">
        <f>IF((Valores!$C$59/20*B278)&gt;Valores!$C$59,Valores!$C$59,Valores!$C$59/20*B278)</f>
        <v>25000</v>
      </c>
      <c r="AH278" s="113">
        <f t="shared" si="45"/>
        <v>88141.866666666669</v>
      </c>
      <c r="AI278" s="113">
        <f>AE278*Valores!$C$39</f>
        <v>-77372.995039999994</v>
      </c>
      <c r="AJ278" s="113">
        <f>IF(AE278&lt;Valores!$E$40,-0.02,IF(AE278&lt;Valores!$F$40,-0.03,-0.04))*AE278</f>
        <v>-14067.817279999999</v>
      </c>
      <c r="AK278" s="113">
        <f>AE278*Valores!$C$42</f>
        <v>-38686.497519999997</v>
      </c>
      <c r="AL278" s="113">
        <f>Valores!$C$56</f>
        <v>-1270.1600000000001</v>
      </c>
      <c r="AM278" s="113">
        <f>IF($F$5=0,Valores!$C$57,(Valores!$C$57+$F$5*(Valores!$C$57)))</f>
        <v>-7026</v>
      </c>
      <c r="AN278" s="113">
        <f t="shared" si="50"/>
        <v>653109.26082666661</v>
      </c>
      <c r="AO278" s="113">
        <f t="shared" si="44"/>
        <v>-77372.995039999994</v>
      </c>
      <c r="AP278" s="113">
        <f t="shared" si="51"/>
        <v>-14067.817279999999</v>
      </c>
      <c r="AQ278" s="113">
        <f>AE278*Valores!$C$43</f>
        <v>-18991.553327999998</v>
      </c>
      <c r="AR278" s="113">
        <f>AE278*Valores!$C$44</f>
        <v>-2110.1725919999999</v>
      </c>
      <c r="AS278" s="113">
        <f t="shared" si="46"/>
        <v>678990.19242666662</v>
      </c>
      <c r="AT278" s="113">
        <f>AE278*Valores!$C$46</f>
        <v>112542.53823999999</v>
      </c>
      <c r="AU278" s="113">
        <f>AE278*Valores!$C$47</f>
        <v>49237.360480000003</v>
      </c>
      <c r="AV278" s="113">
        <f>AE278*Valores!$C$48</f>
        <v>7033.9086399999997</v>
      </c>
      <c r="AW278" s="113">
        <f>AE278*Valores!$C$50</f>
        <v>24618.680240000002</v>
      </c>
      <c r="AX278" s="113">
        <f>AE278*Valores!$C$52</f>
        <v>37983.106655999996</v>
      </c>
      <c r="AY278" s="113">
        <f>AE278*Valores!$C$51</f>
        <v>4220.3451839999998</v>
      </c>
      <c r="AZ278" s="114"/>
      <c r="BA278" s="114">
        <f t="shared" si="43"/>
        <v>26</v>
      </c>
      <c r="BB278" s="111" t="s">
        <v>4</v>
      </c>
    </row>
    <row r="279" spans="1:54" s="100" customFormat="1" ht="11.25" customHeight="1" x14ac:dyDescent="0.15">
      <c r="A279" s="111" t="s">
        <v>433</v>
      </c>
      <c r="B279" s="111">
        <v>27</v>
      </c>
      <c r="C279" s="114">
        <v>272</v>
      </c>
      <c r="D279" s="112" t="str">
        <f>CONCATENATE("Hora Cátedra Enseñanza Media ",B279," hs")</f>
        <v>Hora Cátedra Enseñanza Media 27 hs</v>
      </c>
      <c r="E279" s="169">
        <v>2133</v>
      </c>
      <c r="F279" s="113">
        <f>ROUND(E279*Valores!$C$2,2)</f>
        <v>208620.2</v>
      </c>
      <c r="G279" s="169">
        <v>0</v>
      </c>
      <c r="H279" s="113">
        <f>ROUND(G279*Valores!$C$2,2)</f>
        <v>0</v>
      </c>
      <c r="I279" s="169">
        <v>0</v>
      </c>
      <c r="J279" s="113">
        <f>ROUND(I279*Valores!$C$2,2)</f>
        <v>0</v>
      </c>
      <c r="K279" s="169">
        <v>0</v>
      </c>
      <c r="L279" s="113">
        <f>ROUND(K279*Valores!$C$2,2)</f>
        <v>0</v>
      </c>
      <c r="M279" s="113">
        <f>ROUND(IF($H$2=0,IF(AND(A279&lt;&gt;"13-930",A279&lt;&gt;"13-940"),(SUM(F279,H279,J279,L279,W279,S279,Q279)*Valores!$C$4),0),0),2)</f>
        <v>70988.77</v>
      </c>
      <c r="N279" s="113">
        <f t="shared" si="47"/>
        <v>0</v>
      </c>
      <c r="O279" s="113">
        <f>Valores!C$65*B279</f>
        <v>179586.99</v>
      </c>
      <c r="P279" s="113">
        <f>ROUND(IF((Valores!$E$5*B279)&lt;=Valores!$F$5,Valores!$E$5*B279,Valores!$F$5),2)</f>
        <v>74997.64</v>
      </c>
      <c r="Q279" s="113">
        <f>IF($F$4="NO",Valores!$C$28*B279,Valores!$C$28*B279/2)</f>
        <v>47170.080000000002</v>
      </c>
      <c r="R279" s="113">
        <f>Valores!$C$7*B279</f>
        <v>28164.780000000002</v>
      </c>
      <c r="S279" s="113">
        <f t="shared" si="52"/>
        <v>28164.78</v>
      </c>
      <c r="T279" s="113">
        <v>0</v>
      </c>
      <c r="U279" s="113">
        <v>0</v>
      </c>
      <c r="V279" s="169">
        <v>0</v>
      </c>
      <c r="W279" s="113">
        <f>ROUND(V279*Valores!$C$2,2)</f>
        <v>0</v>
      </c>
      <c r="X279" s="113">
        <v>0</v>
      </c>
      <c r="Y279" s="188">
        <v>0</v>
      </c>
      <c r="Z279" s="113">
        <f t="shared" si="48"/>
        <v>0</v>
      </c>
      <c r="AA279" s="169">
        <v>0</v>
      </c>
      <c r="AB279" s="113">
        <f>ROUND(AA279*Valores!$C$2,2)</f>
        <v>0</v>
      </c>
      <c r="AC279" s="113">
        <f>ROUND(IF($F$4="NO",Valores!$C$33*B279,Valores!$C$33*B279/2),2)</f>
        <v>42079.99</v>
      </c>
      <c r="AD279" s="113">
        <f>SUM(F279,H279,J279,L279,M279,N279,O279,P279,Q279,S279,T279,U279,W279,X279,Z279,AB279,AC279)*Valores!$C$58</f>
        <v>65160.845000000001</v>
      </c>
      <c r="AE279" s="113">
        <f t="shared" si="49"/>
        <v>716769.29499999993</v>
      </c>
      <c r="AF279" s="113">
        <f>IF(Valores!$C$13*B279&gt;Valores!$F$13,Valores!$F$13,Valores!$C$13*B279)</f>
        <v>65570.399999999994</v>
      </c>
      <c r="AG279" s="113">
        <f>IF((Valores!$C$59/20*B279)&gt;Valores!$C$59,Valores!$C$59,Valores!$C$59/20*B279)</f>
        <v>25000</v>
      </c>
      <c r="AH279" s="113">
        <f t="shared" si="45"/>
        <v>90570.4</v>
      </c>
      <c r="AI279" s="113">
        <f>AE279*Valores!$C$39</f>
        <v>-78844.622449999995</v>
      </c>
      <c r="AJ279" s="113">
        <f>IF(AE279&lt;Valores!$E$40,-0.02,IF(AE279&lt;Valores!$F$40,-0.03,-0.04))*AE279</f>
        <v>-14335.385899999999</v>
      </c>
      <c r="AK279" s="113">
        <f>AE279*Valores!$C$42</f>
        <v>-39422.311224999998</v>
      </c>
      <c r="AL279" s="113">
        <f>Valores!$C$56</f>
        <v>-1270.1600000000001</v>
      </c>
      <c r="AM279" s="113">
        <f>IF($F$5=0,Valores!$C$57,(Valores!$C$57+$F$5*(Valores!$C$57)))</f>
        <v>-7026</v>
      </c>
      <c r="AN279" s="113">
        <f t="shared" si="50"/>
        <v>666441.21542499994</v>
      </c>
      <c r="AO279" s="113">
        <f t="shared" si="44"/>
        <v>-78844.622449999995</v>
      </c>
      <c r="AP279" s="113">
        <f t="shared" si="51"/>
        <v>-14335.385899999999</v>
      </c>
      <c r="AQ279" s="113">
        <f>AE279*Valores!$C$43</f>
        <v>-19352.770964999996</v>
      </c>
      <c r="AR279" s="113">
        <f>AE279*Valores!$C$44</f>
        <v>-2150.3078849999997</v>
      </c>
      <c r="AS279" s="113">
        <f t="shared" si="46"/>
        <v>692656.6078</v>
      </c>
      <c r="AT279" s="113">
        <f>AE279*Valores!$C$46</f>
        <v>114683.08719999999</v>
      </c>
      <c r="AU279" s="113">
        <f>AE279*Valores!$C$47</f>
        <v>50173.85065</v>
      </c>
      <c r="AV279" s="113">
        <f>AE279*Valores!$C$48</f>
        <v>7167.6929499999997</v>
      </c>
      <c r="AW279" s="113">
        <f>AE279*Valores!$C$50</f>
        <v>25086.925325</v>
      </c>
      <c r="AX279" s="113">
        <f>AE279*Valores!$C$52</f>
        <v>38705.541929999992</v>
      </c>
      <c r="AY279" s="113">
        <f>AE279*Valores!$C$51</f>
        <v>4300.6157699999994</v>
      </c>
      <c r="AZ279" s="114"/>
      <c r="BA279" s="114">
        <f t="shared" si="43"/>
        <v>27</v>
      </c>
      <c r="BB279" s="111" t="s">
        <v>8</v>
      </c>
    </row>
    <row r="280" spans="1:54" s="100" customFormat="1" ht="11.25" customHeight="1" x14ac:dyDescent="0.15">
      <c r="A280" s="111" t="s">
        <v>433</v>
      </c>
      <c r="B280" s="111">
        <v>27</v>
      </c>
      <c r="C280" s="114">
        <v>273</v>
      </c>
      <c r="D280" s="112" t="str">
        <f>CONCATENATE("Hora Cátedra Enseñanza Media ",B280," hs Esc Esp")</f>
        <v>Hora Cátedra Enseñanza Media 27 hs Esc Esp</v>
      </c>
      <c r="E280" s="169">
        <v>2133</v>
      </c>
      <c r="F280" s="113">
        <f>ROUND(E280*Valores!$C$2,2)</f>
        <v>208620.2</v>
      </c>
      <c r="G280" s="169">
        <v>0</v>
      </c>
      <c r="H280" s="113">
        <f>ROUND(G280*Valores!$C$2,2)</f>
        <v>0</v>
      </c>
      <c r="I280" s="169">
        <v>0</v>
      </c>
      <c r="J280" s="113">
        <f>ROUND(I280*Valores!$C$2,2)</f>
        <v>0</v>
      </c>
      <c r="K280" s="169">
        <v>0</v>
      </c>
      <c r="L280" s="113">
        <f>ROUND(K280*Valores!$C$2,2)</f>
        <v>0</v>
      </c>
      <c r="M280" s="113">
        <f>ROUND(IF($H$2=0,IF(AND(A280&lt;&gt;"13-930",A280&lt;&gt;"13-940"),(SUM(F280,H280,J280,L280,W280,S280,Q280)*Valores!$C$4),0),0),2)</f>
        <v>70988.77</v>
      </c>
      <c r="N280" s="113">
        <f t="shared" si="47"/>
        <v>0</v>
      </c>
      <c r="O280" s="113">
        <f>Valores!C$65*B280</f>
        <v>179586.99</v>
      </c>
      <c r="P280" s="113">
        <f>ROUND(IF((Valores!$E$5*B280)&lt;=Valores!$F$5,Valores!$E$5*B280,Valores!$F$5),2)</f>
        <v>74997.64</v>
      </c>
      <c r="Q280" s="113">
        <f>IF($F$4="NO",Valores!$C$28*B280,Valores!$C$28*B280/2)</f>
        <v>47170.080000000002</v>
      </c>
      <c r="R280" s="113">
        <f>Valores!$C$7*B280</f>
        <v>28164.780000000002</v>
      </c>
      <c r="S280" s="113">
        <f t="shared" si="52"/>
        <v>28164.78</v>
      </c>
      <c r="T280" s="113">
        <v>0</v>
      </c>
      <c r="U280" s="113">
        <v>0</v>
      </c>
      <c r="V280" s="169">
        <v>0</v>
      </c>
      <c r="W280" s="113">
        <f>ROUND(V280*Valores!$C$2,2)</f>
        <v>0</v>
      </c>
      <c r="X280" s="113">
        <v>0</v>
      </c>
      <c r="Y280" s="188">
        <v>0</v>
      </c>
      <c r="Z280" s="113">
        <f t="shared" si="48"/>
        <v>0</v>
      </c>
      <c r="AA280" s="169">
        <v>94</v>
      </c>
      <c r="AB280" s="113">
        <f>ROUND(AA280*Valores!$C$2,2)</f>
        <v>9193.76</v>
      </c>
      <c r="AC280" s="113">
        <f>ROUND(IF($F$4="NO",Valores!$C$33*B280,Valores!$C$33*B280/2),2)</f>
        <v>42079.99</v>
      </c>
      <c r="AD280" s="113">
        <f>SUM(F280,H280,J280,L280,M280,N280,O280,P280,Q280,S280,T280,U280,W280,X280,Z280,AB280,AC280)*Valores!$C$58</f>
        <v>66080.221000000005</v>
      </c>
      <c r="AE280" s="113">
        <f t="shared" si="49"/>
        <v>726882.43099999998</v>
      </c>
      <c r="AF280" s="113">
        <f>IF(Valores!$C$13*B280&gt;Valores!$F$13,Valores!$F$13,Valores!$C$13*B280)</f>
        <v>65570.399999999994</v>
      </c>
      <c r="AG280" s="113">
        <f>IF((Valores!$C$59/20*B280)&gt;Valores!$C$59,Valores!$C$59,Valores!$C$59/20*B280)</f>
        <v>25000</v>
      </c>
      <c r="AH280" s="113">
        <f t="shared" si="45"/>
        <v>90570.4</v>
      </c>
      <c r="AI280" s="113">
        <f>AE280*Valores!$C$39</f>
        <v>-79957.067410000003</v>
      </c>
      <c r="AJ280" s="113">
        <f>IF(AE280&lt;Valores!$E$40,-0.02,IF(AE280&lt;Valores!$F$40,-0.03,-0.04))*AE280</f>
        <v>-14537.64862</v>
      </c>
      <c r="AK280" s="113">
        <f>AE280*Valores!$C$42</f>
        <v>-39978.533705000002</v>
      </c>
      <c r="AL280" s="113">
        <f>Valores!$C$56</f>
        <v>-1270.1600000000001</v>
      </c>
      <c r="AM280" s="113">
        <f>IF($F$5=0,Valores!$C$57,(Valores!$C$57+$F$5*(Valores!$C$57)))</f>
        <v>-7026</v>
      </c>
      <c r="AN280" s="113">
        <f t="shared" si="50"/>
        <v>674683.42126500001</v>
      </c>
      <c r="AO280" s="113">
        <f t="shared" si="44"/>
        <v>-79957.067410000003</v>
      </c>
      <c r="AP280" s="113">
        <f t="shared" si="51"/>
        <v>-14537.64862</v>
      </c>
      <c r="AQ280" s="113">
        <f>AE280*Valores!$C$43</f>
        <v>-19625.825636999998</v>
      </c>
      <c r="AR280" s="113">
        <f>AE280*Valores!$C$44</f>
        <v>-2180.647293</v>
      </c>
      <c r="AS280" s="113">
        <f t="shared" si="46"/>
        <v>701151.64203999995</v>
      </c>
      <c r="AT280" s="113">
        <f>AE280*Valores!$C$46</f>
        <v>116301.18896</v>
      </c>
      <c r="AU280" s="113">
        <f>AE280*Valores!$C$47</f>
        <v>50881.770170000003</v>
      </c>
      <c r="AV280" s="113">
        <f>AE280*Valores!$C$48</f>
        <v>7268.82431</v>
      </c>
      <c r="AW280" s="113">
        <f>AE280*Valores!$C$50</f>
        <v>25440.885085000002</v>
      </c>
      <c r="AX280" s="113">
        <f>AE280*Valores!$C$52</f>
        <v>39251.651273999996</v>
      </c>
      <c r="AY280" s="113">
        <f>AE280*Valores!$C$51</f>
        <v>4361.294586</v>
      </c>
      <c r="AZ280" s="114"/>
      <c r="BA280" s="114">
        <f t="shared" si="43"/>
        <v>27</v>
      </c>
      <c r="BB280" s="111" t="s">
        <v>8</v>
      </c>
    </row>
    <row r="281" spans="1:54" s="100" customFormat="1" ht="11.25" customHeight="1" x14ac:dyDescent="0.15">
      <c r="A281" s="111" t="s">
        <v>433</v>
      </c>
      <c r="B281" s="111">
        <v>28</v>
      </c>
      <c r="C281" s="114">
        <v>274</v>
      </c>
      <c r="D281" s="112" t="str">
        <f>CONCATENATE("Hora Cátedra Enseñanza Media ",B281," hs")</f>
        <v>Hora Cátedra Enseñanza Media 28 hs</v>
      </c>
      <c r="E281" s="169">
        <v>2212</v>
      </c>
      <c r="F281" s="113">
        <f>ROUND(E281*Valores!$C$2,2)</f>
        <v>216346.87</v>
      </c>
      <c r="G281" s="169">
        <v>0</v>
      </c>
      <c r="H281" s="113">
        <f>ROUND(G281*Valores!$C$2,2)</f>
        <v>0</v>
      </c>
      <c r="I281" s="169">
        <v>0</v>
      </c>
      <c r="J281" s="113">
        <f>ROUND(I281*Valores!$C$2,2)</f>
        <v>0</v>
      </c>
      <c r="K281" s="169">
        <v>0</v>
      </c>
      <c r="L281" s="113">
        <f>ROUND(K281*Valores!$C$2,2)</f>
        <v>0</v>
      </c>
      <c r="M281" s="113">
        <f>ROUND(IF($H$2=0,IF(AND(A281&lt;&gt;"13-930",A281&lt;&gt;"13-940"),(SUM(F281,H281,J281,L281,W281,S281,Q281)*Valores!$C$4),0),0),2)</f>
        <v>73617.98</v>
      </c>
      <c r="N281" s="113">
        <f t="shared" si="47"/>
        <v>0</v>
      </c>
      <c r="O281" s="113">
        <f>Valores!C$65*B281</f>
        <v>186238.36</v>
      </c>
      <c r="P281" s="113">
        <f>ROUND(IF((Valores!$E$5*B281)&lt;=Valores!$F$5,Valores!$E$5*B281,Valores!$F$5),2)</f>
        <v>74997.64</v>
      </c>
      <c r="Q281" s="113">
        <f>IF($F$4="NO",Valores!$C$28*B281,Valores!$C$28*B281/2)</f>
        <v>48917.119999999995</v>
      </c>
      <c r="R281" s="113">
        <f>Valores!$C$7*B281</f>
        <v>29207.920000000002</v>
      </c>
      <c r="S281" s="113">
        <f t="shared" si="52"/>
        <v>29207.919999999998</v>
      </c>
      <c r="T281" s="113">
        <v>0</v>
      </c>
      <c r="U281" s="113">
        <v>0</v>
      </c>
      <c r="V281" s="169">
        <v>0</v>
      </c>
      <c r="W281" s="113">
        <f>ROUND(V281*Valores!$C$2,2)</f>
        <v>0</v>
      </c>
      <c r="X281" s="113">
        <v>0</v>
      </c>
      <c r="Y281" s="188">
        <v>0</v>
      </c>
      <c r="Z281" s="113">
        <f t="shared" si="48"/>
        <v>0</v>
      </c>
      <c r="AA281" s="169">
        <v>0</v>
      </c>
      <c r="AB281" s="113">
        <f>ROUND(AA281*Valores!$C$2,2)</f>
        <v>0</v>
      </c>
      <c r="AC281" s="113">
        <f>ROUND(IF($F$4="NO",Valores!$C$33*B281,Valores!$C$33*B281/2),2)</f>
        <v>43638.5</v>
      </c>
      <c r="AD281" s="113">
        <f>SUM(F281,H281,J281,L281,M281,N281,O281,P281,Q281,S281,T281,U281,W281,X281,Z281,AB281,AC281)*Valores!$C$58</f>
        <v>67296.438999999998</v>
      </c>
      <c r="AE281" s="113">
        <f t="shared" si="49"/>
        <v>740260.82900000003</v>
      </c>
      <c r="AF281" s="113">
        <f>IF(Valores!$C$13*B281&gt;Valores!$F$13,Valores!$F$13,Valores!$C$13*B281)</f>
        <v>67998.933333333334</v>
      </c>
      <c r="AG281" s="113">
        <f>IF((Valores!$C$59/20*B281)&gt;Valores!$C$59,Valores!$C$59,Valores!$C$59/20*B281)</f>
        <v>25000</v>
      </c>
      <c r="AH281" s="113">
        <f t="shared" si="45"/>
        <v>92998.933333333334</v>
      </c>
      <c r="AI281" s="113">
        <f>AE281*Valores!$C$39</f>
        <v>-81428.691189999998</v>
      </c>
      <c r="AJ281" s="113">
        <f>IF(AE281&lt;Valores!$E$40,-0.02,IF(AE281&lt;Valores!$F$40,-0.03,-0.04))*AE281</f>
        <v>-14805.21658</v>
      </c>
      <c r="AK281" s="113">
        <f>AE281*Valores!$C$42</f>
        <v>-40714.345594999999</v>
      </c>
      <c r="AL281" s="113">
        <f>Valores!$C$56</f>
        <v>-1270.1600000000001</v>
      </c>
      <c r="AM281" s="113">
        <f>IF($F$5=0,Valores!$C$57,(Valores!$C$57+$F$5*(Valores!$C$57)))</f>
        <v>-7026</v>
      </c>
      <c r="AN281" s="113">
        <f t="shared" si="50"/>
        <v>688015.34896833333</v>
      </c>
      <c r="AO281" s="113">
        <f t="shared" si="44"/>
        <v>-81428.691189999998</v>
      </c>
      <c r="AP281" s="113">
        <f t="shared" si="51"/>
        <v>-14805.21658</v>
      </c>
      <c r="AQ281" s="113">
        <f>AE281*Valores!$C$43</f>
        <v>-19987.042383</v>
      </c>
      <c r="AR281" s="113">
        <f>AE281*Valores!$C$44</f>
        <v>-2220.7824869999999</v>
      </c>
      <c r="AS281" s="113">
        <f t="shared" si="46"/>
        <v>714818.02969333343</v>
      </c>
      <c r="AT281" s="113">
        <f>AE281*Valores!$C$46</f>
        <v>118441.73264</v>
      </c>
      <c r="AU281" s="113">
        <f>AE281*Valores!$C$47</f>
        <v>51818.258030000005</v>
      </c>
      <c r="AV281" s="113">
        <f>AE281*Valores!$C$48</f>
        <v>7402.6082900000001</v>
      </c>
      <c r="AW281" s="113">
        <f>AE281*Valores!$C$50</f>
        <v>25909.129015000002</v>
      </c>
      <c r="AX281" s="113">
        <f>AE281*Valores!$C$52</f>
        <v>39974.084766</v>
      </c>
      <c r="AY281" s="113">
        <f>AE281*Valores!$C$51</f>
        <v>4441.5649739999999</v>
      </c>
      <c r="AZ281" s="114"/>
      <c r="BA281" s="114">
        <f t="shared" si="43"/>
        <v>28</v>
      </c>
      <c r="BB281" s="111" t="s">
        <v>4</v>
      </c>
    </row>
    <row r="282" spans="1:54" s="100" customFormat="1" ht="11.25" customHeight="1" x14ac:dyDescent="0.15">
      <c r="A282" s="111" t="s">
        <v>433</v>
      </c>
      <c r="B282" s="111">
        <v>28</v>
      </c>
      <c r="C282" s="114">
        <v>275</v>
      </c>
      <c r="D282" s="112" t="str">
        <f>CONCATENATE("Hora Cátedra Enseñanza Media ",B282," hs Esc Esp")</f>
        <v>Hora Cátedra Enseñanza Media 28 hs Esc Esp</v>
      </c>
      <c r="E282" s="169">
        <v>2212</v>
      </c>
      <c r="F282" s="113">
        <f>ROUND(E282*Valores!$C$2,2)</f>
        <v>216346.87</v>
      </c>
      <c r="G282" s="169">
        <v>0</v>
      </c>
      <c r="H282" s="113">
        <f>ROUND(G282*Valores!$C$2,2)</f>
        <v>0</v>
      </c>
      <c r="I282" s="169">
        <v>0</v>
      </c>
      <c r="J282" s="113">
        <f>ROUND(I282*Valores!$C$2,2)</f>
        <v>0</v>
      </c>
      <c r="K282" s="169">
        <v>0</v>
      </c>
      <c r="L282" s="113">
        <f>ROUND(K282*Valores!$C$2,2)</f>
        <v>0</v>
      </c>
      <c r="M282" s="113">
        <f>ROUND(IF($H$2=0,IF(AND(A282&lt;&gt;"13-930",A282&lt;&gt;"13-940"),(SUM(F282,H282,J282,L282,W282,S282,Q282)*Valores!$C$4),0),0),2)</f>
        <v>73617.98</v>
      </c>
      <c r="N282" s="113">
        <f t="shared" si="47"/>
        <v>0</v>
      </c>
      <c r="O282" s="113">
        <f>Valores!C$65*B282</f>
        <v>186238.36</v>
      </c>
      <c r="P282" s="113">
        <f>ROUND(IF((Valores!$E$5*B282)&lt;=Valores!$F$5,Valores!$E$5*B282,Valores!$F$5),2)</f>
        <v>74997.64</v>
      </c>
      <c r="Q282" s="113">
        <f>IF($F$4="NO",Valores!$C$28*B282,Valores!$C$28*B282/2)</f>
        <v>48917.119999999995</v>
      </c>
      <c r="R282" s="113">
        <f>Valores!$C$7*B282</f>
        <v>29207.920000000002</v>
      </c>
      <c r="S282" s="113">
        <f t="shared" si="52"/>
        <v>29207.919999999998</v>
      </c>
      <c r="T282" s="113">
        <v>0</v>
      </c>
      <c r="U282" s="113">
        <v>0</v>
      </c>
      <c r="V282" s="169">
        <v>0</v>
      </c>
      <c r="W282" s="113">
        <f>ROUND(V282*Valores!$C$2,2)</f>
        <v>0</v>
      </c>
      <c r="X282" s="113">
        <v>0</v>
      </c>
      <c r="Y282" s="188">
        <v>0</v>
      </c>
      <c r="Z282" s="113">
        <f t="shared" si="48"/>
        <v>0</v>
      </c>
      <c r="AA282" s="169">
        <v>94</v>
      </c>
      <c r="AB282" s="113">
        <f>ROUND(AA282*Valores!$C$2,2)</f>
        <v>9193.76</v>
      </c>
      <c r="AC282" s="113">
        <f>ROUND(IF($F$4="NO",Valores!$C$33*B282,Valores!$C$33*B282/2),2)</f>
        <v>43638.5</v>
      </c>
      <c r="AD282" s="113">
        <f>SUM(F282,H282,J282,L282,M282,N282,O282,P282,Q282,S282,T282,U282,W282,X282,Z282,AB282,AC282)*Valores!$C$58</f>
        <v>68215.815000000002</v>
      </c>
      <c r="AE282" s="113">
        <f t="shared" si="49"/>
        <v>750373.96500000008</v>
      </c>
      <c r="AF282" s="113">
        <f>IF(Valores!$C$13*B282&gt;Valores!$F$13,Valores!$F$13,Valores!$C$13*B282)</f>
        <v>67998.933333333334</v>
      </c>
      <c r="AG282" s="113">
        <f>IF((Valores!$C$59/20*B282)&gt;Valores!$C$59,Valores!$C$59,Valores!$C$59/20*B282)</f>
        <v>25000</v>
      </c>
      <c r="AH282" s="113">
        <f t="shared" si="45"/>
        <v>92998.933333333334</v>
      </c>
      <c r="AI282" s="113">
        <f>AE282*Valores!$C$39</f>
        <v>-82541.136150000006</v>
      </c>
      <c r="AJ282" s="113">
        <f>IF(AE282&lt;Valores!$E$40,-0.02,IF(AE282&lt;Valores!$F$40,-0.03,-0.04))*AE282</f>
        <v>-15007.479300000003</v>
      </c>
      <c r="AK282" s="113">
        <f>AE282*Valores!$C$42</f>
        <v>-41270.568075000003</v>
      </c>
      <c r="AL282" s="113">
        <f>Valores!$C$56</f>
        <v>-1270.1600000000001</v>
      </c>
      <c r="AM282" s="113">
        <f>IF($F$5=0,Valores!$C$57,(Valores!$C$57+$F$5*(Valores!$C$57)))</f>
        <v>-7026</v>
      </c>
      <c r="AN282" s="113">
        <f t="shared" si="50"/>
        <v>696257.5548083334</v>
      </c>
      <c r="AO282" s="113">
        <f t="shared" si="44"/>
        <v>-82541.136150000006</v>
      </c>
      <c r="AP282" s="113">
        <f t="shared" si="51"/>
        <v>-15007.479300000003</v>
      </c>
      <c r="AQ282" s="113">
        <f>AE282*Valores!$C$43</f>
        <v>-20260.097055000002</v>
      </c>
      <c r="AR282" s="113">
        <f>AE282*Valores!$C$44</f>
        <v>-2251.1218950000002</v>
      </c>
      <c r="AS282" s="113">
        <f t="shared" si="46"/>
        <v>723313.06393333338</v>
      </c>
      <c r="AT282" s="113">
        <f>AE282*Valores!$C$46</f>
        <v>120059.83440000002</v>
      </c>
      <c r="AU282" s="113">
        <f>AE282*Valores!$C$47</f>
        <v>52526.177550000008</v>
      </c>
      <c r="AV282" s="113">
        <f>AE282*Valores!$C$48</f>
        <v>7503.7396500000013</v>
      </c>
      <c r="AW282" s="113">
        <f>AE282*Valores!$C$50</f>
        <v>26263.088775000004</v>
      </c>
      <c r="AX282" s="113">
        <f>AE282*Valores!$C$52</f>
        <v>40520.194110000004</v>
      </c>
      <c r="AY282" s="113">
        <f>AE282*Valores!$C$51</f>
        <v>4502.2437900000004</v>
      </c>
      <c r="AZ282" s="114"/>
      <c r="BA282" s="114">
        <f t="shared" si="43"/>
        <v>28</v>
      </c>
      <c r="BB282" s="111" t="s">
        <v>4</v>
      </c>
    </row>
    <row r="283" spans="1:54" s="100" customFormat="1" ht="11.25" customHeight="1" x14ac:dyDescent="0.15">
      <c r="A283" s="111" t="s">
        <v>433</v>
      </c>
      <c r="B283" s="111">
        <v>29</v>
      </c>
      <c r="C283" s="114">
        <v>276</v>
      </c>
      <c r="D283" s="112" t="str">
        <f>CONCATENATE("Hora Cátedra Enseñanza Media ",B283," hs")</f>
        <v>Hora Cátedra Enseñanza Media 29 hs</v>
      </c>
      <c r="E283" s="169">
        <v>2291</v>
      </c>
      <c r="F283" s="113">
        <f>ROUND(E283*Valores!$C$2,2)</f>
        <v>224073.55</v>
      </c>
      <c r="G283" s="169">
        <v>0</v>
      </c>
      <c r="H283" s="113">
        <f>ROUND(G283*Valores!$C$2,2)</f>
        <v>0</v>
      </c>
      <c r="I283" s="169">
        <v>0</v>
      </c>
      <c r="J283" s="113">
        <f>ROUND(I283*Valores!$C$2,2)</f>
        <v>0</v>
      </c>
      <c r="K283" s="169">
        <v>0</v>
      </c>
      <c r="L283" s="113">
        <f>ROUND(K283*Valores!$C$2,2)</f>
        <v>0</v>
      </c>
      <c r="M283" s="113">
        <f>ROUND(IF($H$2=0,IF(AND(A283&lt;&gt;"13-930",A283&lt;&gt;"13-940"),(SUM(F283,H283,J283,L283,W283,S283,Q283)*Valores!$C$4),0),0),2)</f>
        <v>76247.19</v>
      </c>
      <c r="N283" s="113">
        <f t="shared" si="47"/>
        <v>0</v>
      </c>
      <c r="O283" s="113">
        <f>Valores!C$65*B283</f>
        <v>192889.73</v>
      </c>
      <c r="P283" s="113">
        <f>ROUND(IF((Valores!$E$5*B283)&lt;=Valores!$F$5,Valores!$E$5*B283,Valores!$F$5),2)</f>
        <v>74997.64</v>
      </c>
      <c r="Q283" s="113">
        <f>IF($F$4="NO",Valores!$C$28*B283,Valores!$C$28*B283/2)</f>
        <v>50664.159999999996</v>
      </c>
      <c r="R283" s="113">
        <f>Valores!$C$7*B283</f>
        <v>30251.06</v>
      </c>
      <c r="S283" s="113">
        <f t="shared" si="52"/>
        <v>30251.06</v>
      </c>
      <c r="T283" s="113">
        <v>0</v>
      </c>
      <c r="U283" s="113">
        <v>0</v>
      </c>
      <c r="V283" s="169">
        <v>0</v>
      </c>
      <c r="W283" s="113">
        <f>ROUND(V283*Valores!$C$2,2)</f>
        <v>0</v>
      </c>
      <c r="X283" s="113">
        <v>0</v>
      </c>
      <c r="Y283" s="188">
        <v>0</v>
      </c>
      <c r="Z283" s="113">
        <f t="shared" si="48"/>
        <v>0</v>
      </c>
      <c r="AA283" s="169">
        <v>0</v>
      </c>
      <c r="AB283" s="113">
        <f>ROUND(AA283*Valores!$C$2,2)</f>
        <v>0</v>
      </c>
      <c r="AC283" s="113">
        <f>ROUND(IF($F$4="NO",Valores!$C$33*B283,Valores!$C$33*B283/2),2)</f>
        <v>45197.02</v>
      </c>
      <c r="AD283" s="113">
        <f>SUM(F283,H283,J283,L283,M283,N283,O283,P283,Q283,S283,T283,U283,W283,X283,Z283,AB283,AC283)*Valores!$C$58</f>
        <v>69432.035000000018</v>
      </c>
      <c r="AE283" s="113">
        <f t="shared" si="49"/>
        <v>763752.38500000013</v>
      </c>
      <c r="AF283" s="113">
        <f>IF(Valores!$C$13*B283&gt;Valores!$F$13,Valores!$F$13,Valores!$C$13*B283)</f>
        <v>70427.46666666666</v>
      </c>
      <c r="AG283" s="113">
        <f>IF((Valores!$C$59/20*B283)&gt;Valores!$C$59,Valores!$C$59,Valores!$C$59/20*B283)</f>
        <v>25000</v>
      </c>
      <c r="AH283" s="113">
        <f t="shared" si="45"/>
        <v>95427.46666666666</v>
      </c>
      <c r="AI283" s="113">
        <f>AE283*Valores!$C$39</f>
        <v>-84012.762350000019</v>
      </c>
      <c r="AJ283" s="113">
        <f>IF(AE283&lt;Valores!$E$40,-0.02,IF(AE283&lt;Valores!$F$40,-0.03,-0.04))*AE283</f>
        <v>-22912.571550000004</v>
      </c>
      <c r="AK283" s="113">
        <f>AE283*Valores!$C$42</f>
        <v>-42006.38117500001</v>
      </c>
      <c r="AL283" s="113">
        <f>Valores!$C$56</f>
        <v>-1270.1600000000001</v>
      </c>
      <c r="AM283" s="113">
        <f>IF($F$5=0,Valores!$C$57,(Valores!$C$57+$F$5*(Valores!$C$57)))</f>
        <v>-7026</v>
      </c>
      <c r="AN283" s="113">
        <f t="shared" si="50"/>
        <v>701951.97659166669</v>
      </c>
      <c r="AO283" s="113">
        <f t="shared" si="44"/>
        <v>-84012.762350000019</v>
      </c>
      <c r="AP283" s="113">
        <f t="shared" si="51"/>
        <v>-22912.571550000004</v>
      </c>
      <c r="AQ283" s="113">
        <f>AE283*Valores!$C$43</f>
        <v>-20621.314395000005</v>
      </c>
      <c r="AR283" s="113">
        <f>AE283*Valores!$C$44</f>
        <v>-2291.2571550000002</v>
      </c>
      <c r="AS283" s="113">
        <f t="shared" si="46"/>
        <v>729341.94621666672</v>
      </c>
      <c r="AT283" s="113">
        <f>AE283*Valores!$C$46</f>
        <v>122200.38160000002</v>
      </c>
      <c r="AU283" s="113">
        <f>AE283*Valores!$C$47</f>
        <v>53462.666950000013</v>
      </c>
      <c r="AV283" s="113">
        <f>AE283*Valores!$C$48</f>
        <v>7637.5238500000014</v>
      </c>
      <c r="AW283" s="113">
        <f>AE283*Valores!$C$50</f>
        <v>26731.333475000007</v>
      </c>
      <c r="AX283" s="113">
        <f>AE283*Valores!$C$52</f>
        <v>41242.62879000001</v>
      </c>
      <c r="AY283" s="113">
        <f>AE283*Valores!$C$51</f>
        <v>4582.5143100000005</v>
      </c>
      <c r="AZ283" s="114"/>
      <c r="BA283" s="114">
        <f t="shared" si="43"/>
        <v>29</v>
      </c>
      <c r="BB283" s="111" t="s">
        <v>8</v>
      </c>
    </row>
    <row r="284" spans="1:54" s="100" customFormat="1" ht="11.25" customHeight="1" x14ac:dyDescent="0.15">
      <c r="A284" s="111" t="s">
        <v>433</v>
      </c>
      <c r="B284" s="111">
        <v>29</v>
      </c>
      <c r="C284" s="114">
        <v>277</v>
      </c>
      <c r="D284" s="112" t="str">
        <f>CONCATENATE("Hora Cátedra Enseñanza Media ",B284," hs Esc Esp")</f>
        <v>Hora Cátedra Enseñanza Media 29 hs Esc Esp</v>
      </c>
      <c r="E284" s="169">
        <v>2291</v>
      </c>
      <c r="F284" s="113">
        <f>ROUND(E284*Valores!$C$2,2)</f>
        <v>224073.55</v>
      </c>
      <c r="G284" s="169">
        <v>0</v>
      </c>
      <c r="H284" s="113">
        <f>ROUND(G284*Valores!$C$2,2)</f>
        <v>0</v>
      </c>
      <c r="I284" s="169">
        <v>0</v>
      </c>
      <c r="J284" s="113">
        <f>ROUND(I284*Valores!$C$2,2)</f>
        <v>0</v>
      </c>
      <c r="K284" s="169">
        <v>0</v>
      </c>
      <c r="L284" s="113">
        <f>ROUND(K284*Valores!$C$2,2)</f>
        <v>0</v>
      </c>
      <c r="M284" s="113">
        <f>ROUND(IF($H$2=0,IF(AND(A284&lt;&gt;"13-930",A284&lt;&gt;"13-940"),(SUM(F284,H284,J284,L284,W284,S284,Q284)*Valores!$C$4),0),0),2)</f>
        <v>76247.19</v>
      </c>
      <c r="N284" s="113">
        <f t="shared" si="47"/>
        <v>0</v>
      </c>
      <c r="O284" s="113">
        <f>Valores!C$65*B284</f>
        <v>192889.73</v>
      </c>
      <c r="P284" s="113">
        <f>ROUND(IF((Valores!$E$5*B284)&lt;=Valores!$F$5,Valores!$E$5*B284,Valores!$F$5),2)</f>
        <v>74997.64</v>
      </c>
      <c r="Q284" s="113">
        <f>IF($F$4="NO",Valores!$C$28*B284,Valores!$C$28*B284/2)</f>
        <v>50664.159999999996</v>
      </c>
      <c r="R284" s="113">
        <f>Valores!$C$7*B284</f>
        <v>30251.06</v>
      </c>
      <c r="S284" s="113">
        <f t="shared" si="52"/>
        <v>30251.06</v>
      </c>
      <c r="T284" s="113">
        <v>0</v>
      </c>
      <c r="U284" s="113">
        <v>0</v>
      </c>
      <c r="V284" s="169">
        <v>0</v>
      </c>
      <c r="W284" s="113">
        <f>ROUND(V284*Valores!$C$2,2)</f>
        <v>0</v>
      </c>
      <c r="X284" s="113">
        <v>0</v>
      </c>
      <c r="Y284" s="188">
        <v>0</v>
      </c>
      <c r="Z284" s="113">
        <f t="shared" si="48"/>
        <v>0</v>
      </c>
      <c r="AA284" s="169">
        <v>94</v>
      </c>
      <c r="AB284" s="113">
        <f>ROUND(AA284*Valores!$C$2,2)</f>
        <v>9193.76</v>
      </c>
      <c r="AC284" s="113">
        <f>ROUND(IF($F$4="NO",Valores!$C$33*B284,Valores!$C$33*B284/2),2)</f>
        <v>45197.02</v>
      </c>
      <c r="AD284" s="113">
        <f>SUM(F284,H284,J284,L284,M284,N284,O284,P284,Q284,S284,T284,U284,W284,X284,Z284,AB284,AC284)*Valores!$C$58</f>
        <v>70351.411000000007</v>
      </c>
      <c r="AE284" s="113">
        <f t="shared" si="49"/>
        <v>773865.52100000007</v>
      </c>
      <c r="AF284" s="113">
        <f>IF(Valores!$C$13*B284&gt;Valores!$F$13,Valores!$F$13,Valores!$C$13*B284)</f>
        <v>70427.46666666666</v>
      </c>
      <c r="AG284" s="113">
        <f>IF((Valores!$C$59/20*B284)&gt;Valores!$C$59,Valores!$C$59,Valores!$C$59/20*B284)</f>
        <v>25000</v>
      </c>
      <c r="AH284" s="113">
        <f t="shared" si="45"/>
        <v>95427.46666666666</v>
      </c>
      <c r="AI284" s="113">
        <f>AE284*Valores!$C$39</f>
        <v>-85125.207310000013</v>
      </c>
      <c r="AJ284" s="113">
        <f>IF(AE284&lt;Valores!$E$40,-0.02,IF(AE284&lt;Valores!$F$40,-0.03,-0.04))*AE284</f>
        <v>-23215.965630000002</v>
      </c>
      <c r="AK284" s="113">
        <f>AE284*Valores!$C$42</f>
        <v>-42562.603655000006</v>
      </c>
      <c r="AL284" s="113">
        <f>Valores!$C$56</f>
        <v>-1270.1600000000001</v>
      </c>
      <c r="AM284" s="113">
        <f>IF($F$5=0,Valores!$C$57,(Valores!$C$57+$F$5*(Valores!$C$57)))</f>
        <v>-7026</v>
      </c>
      <c r="AN284" s="113">
        <f t="shared" si="50"/>
        <v>710093.05107166665</v>
      </c>
      <c r="AO284" s="113">
        <f t="shared" si="44"/>
        <v>-85125.207310000013</v>
      </c>
      <c r="AP284" s="113">
        <f t="shared" si="51"/>
        <v>-23215.965630000002</v>
      </c>
      <c r="AQ284" s="113">
        <f>AE284*Valores!$C$43</f>
        <v>-20894.369067000003</v>
      </c>
      <c r="AR284" s="113">
        <f>AE284*Valores!$C$44</f>
        <v>-2321.5965630000001</v>
      </c>
      <c r="AS284" s="113">
        <f t="shared" si="46"/>
        <v>737735.84909666667</v>
      </c>
      <c r="AT284" s="113">
        <f>AE284*Valores!$C$46</f>
        <v>123818.48336000001</v>
      </c>
      <c r="AU284" s="113">
        <f>AE284*Valores!$C$47</f>
        <v>54170.586470000009</v>
      </c>
      <c r="AV284" s="113">
        <f>AE284*Valores!$C$48</f>
        <v>7738.6552100000008</v>
      </c>
      <c r="AW284" s="113">
        <f>AE284*Valores!$C$50</f>
        <v>27085.293235000005</v>
      </c>
      <c r="AX284" s="113">
        <f>AE284*Valores!$C$52</f>
        <v>41788.738134000007</v>
      </c>
      <c r="AY284" s="113">
        <f>AE284*Valores!$C$51</f>
        <v>4643.1931260000001</v>
      </c>
      <c r="AZ284" s="114"/>
      <c r="BA284" s="114">
        <f t="shared" si="43"/>
        <v>29</v>
      </c>
      <c r="BB284" s="111" t="s">
        <v>8</v>
      </c>
    </row>
    <row r="285" spans="1:54" s="100" customFormat="1" ht="11.25" customHeight="1" x14ac:dyDescent="0.15">
      <c r="A285" s="111" t="s">
        <v>433</v>
      </c>
      <c r="B285" s="111">
        <v>30</v>
      </c>
      <c r="C285" s="114">
        <v>278</v>
      </c>
      <c r="D285" s="112" t="str">
        <f>CONCATENATE("Hora Cátedra Enseñanza Media ",B285," hs")</f>
        <v>Hora Cátedra Enseñanza Media 30 hs</v>
      </c>
      <c r="E285" s="169">
        <v>2370</v>
      </c>
      <c r="F285" s="113">
        <f>ROUND(E285*Valores!$C$2,2)</f>
        <v>231800.22</v>
      </c>
      <c r="G285" s="169">
        <v>0</v>
      </c>
      <c r="H285" s="113">
        <f>ROUND(G285*Valores!$C$2,2)</f>
        <v>0</v>
      </c>
      <c r="I285" s="169">
        <v>0</v>
      </c>
      <c r="J285" s="113">
        <f>ROUND(I285*Valores!$C$2,2)</f>
        <v>0</v>
      </c>
      <c r="K285" s="169">
        <v>0</v>
      </c>
      <c r="L285" s="113">
        <f>ROUND(K285*Valores!$C$2,2)</f>
        <v>0</v>
      </c>
      <c r="M285" s="113">
        <f>ROUND(IF($H$2=0,IF(AND(A285&lt;&gt;"13-930",A285&lt;&gt;"13-940"),(SUM(F285,H285,J285,L285,W285,S285,Q285)*Valores!$C$4),0),0),2)</f>
        <v>78876.41</v>
      </c>
      <c r="N285" s="113">
        <f t="shared" si="47"/>
        <v>0</v>
      </c>
      <c r="O285" s="113">
        <f>Valores!C$65*B285</f>
        <v>199541.1</v>
      </c>
      <c r="P285" s="113">
        <f>ROUND(IF((Valores!$E$5*B285)&lt;=Valores!$F$5,Valores!$E$5*B285,Valores!$F$5),2)</f>
        <v>74997.64</v>
      </c>
      <c r="Q285" s="113">
        <f>IF($F$4="NO",Valores!$C$28*B285,Valores!$C$28*B285/2)</f>
        <v>52411.199999999997</v>
      </c>
      <c r="R285" s="113">
        <f>Valores!$C$7*B285</f>
        <v>31294.200000000004</v>
      </c>
      <c r="S285" s="113">
        <f t="shared" si="52"/>
        <v>31294.2</v>
      </c>
      <c r="T285" s="113">
        <v>0</v>
      </c>
      <c r="U285" s="113">
        <v>0</v>
      </c>
      <c r="V285" s="169">
        <v>0</v>
      </c>
      <c r="W285" s="113">
        <f>ROUND(V285*Valores!$C$2,2)</f>
        <v>0</v>
      </c>
      <c r="X285" s="113">
        <v>0</v>
      </c>
      <c r="Y285" s="188">
        <v>0</v>
      </c>
      <c r="Z285" s="113">
        <f t="shared" si="48"/>
        <v>0</v>
      </c>
      <c r="AA285" s="169">
        <v>0</v>
      </c>
      <c r="AB285" s="113">
        <f>ROUND(AA285*Valores!$C$2,2)</f>
        <v>0</v>
      </c>
      <c r="AC285" s="113">
        <f>ROUND(IF($F$4="NO",Valores!$C$33*B285,Valores!$C$33*B285/2),2)</f>
        <v>46755.54</v>
      </c>
      <c r="AD285" s="113">
        <f>SUM(F285,H285,J285,L285,M285,N285,O285,P285,Q285,S285,T285,U285,W285,X285,Z285,AB285,AC285)*Valores!$C$58</f>
        <v>71567.630999999994</v>
      </c>
      <c r="AE285" s="113">
        <f t="shared" si="49"/>
        <v>787243.94099999988</v>
      </c>
      <c r="AF285" s="113">
        <f>IF(Valores!$C$13*B285&gt;Valores!$F$13,Valores!$F$13,Valores!$C$13*B285)</f>
        <v>72856</v>
      </c>
      <c r="AG285" s="113">
        <f>IF((Valores!$C$59/20*B285)&gt;Valores!$C$59,Valores!$C$59,Valores!$C$59/20*B285)</f>
        <v>25000</v>
      </c>
      <c r="AH285" s="113">
        <f t="shared" si="45"/>
        <v>97856</v>
      </c>
      <c r="AI285" s="113">
        <f>AE285*Valores!$C$39</f>
        <v>-86596.833509999982</v>
      </c>
      <c r="AJ285" s="113">
        <f>IF(AE285&lt;Valores!$E$40,-0.02,IF(AE285&lt;Valores!$F$40,-0.03,-0.04))*AE285</f>
        <v>-23617.318229999997</v>
      </c>
      <c r="AK285" s="113">
        <f>AE285*Valores!$C$42</f>
        <v>-43298.416754999991</v>
      </c>
      <c r="AL285" s="113">
        <f>Valores!$C$56</f>
        <v>-1270.1600000000001</v>
      </c>
      <c r="AM285" s="113">
        <f>IF($F$5=0,Valores!$C$57,(Valores!$C$57+$F$5*(Valores!$C$57)))</f>
        <v>-7026</v>
      </c>
      <c r="AN285" s="113">
        <f t="shared" si="50"/>
        <v>723291.21250499994</v>
      </c>
      <c r="AO285" s="113">
        <f t="shared" si="44"/>
        <v>-86596.833509999982</v>
      </c>
      <c r="AP285" s="113">
        <f t="shared" si="51"/>
        <v>-23617.318229999997</v>
      </c>
      <c r="AQ285" s="113">
        <f>AE285*Valores!$C$43</f>
        <v>-21255.586406999995</v>
      </c>
      <c r="AR285" s="113">
        <f>AE285*Valores!$C$44</f>
        <v>-2361.7318229999996</v>
      </c>
      <c r="AS285" s="113">
        <f t="shared" si="46"/>
        <v>751268.4710299999</v>
      </c>
      <c r="AT285" s="113">
        <f>AE285*Valores!$C$46</f>
        <v>125959.03055999998</v>
      </c>
      <c r="AU285" s="113">
        <f>AE285*Valores!$C$47</f>
        <v>55107.075869999993</v>
      </c>
      <c r="AV285" s="113">
        <f>AE285*Valores!$C$48</f>
        <v>7872.439409999999</v>
      </c>
      <c r="AW285" s="113">
        <f>AE285*Valores!$C$50</f>
        <v>27553.537934999997</v>
      </c>
      <c r="AX285" s="113">
        <f>AE285*Valores!$C$52</f>
        <v>42511.17281399999</v>
      </c>
      <c r="AY285" s="113">
        <f>AE285*Valores!$C$51</f>
        <v>4723.4636459999992</v>
      </c>
      <c r="AZ285" s="114"/>
      <c r="BA285" s="114">
        <f t="shared" si="43"/>
        <v>30</v>
      </c>
      <c r="BB285" s="111" t="s">
        <v>4</v>
      </c>
    </row>
    <row r="286" spans="1:54" s="100" customFormat="1" ht="11.25" customHeight="1" x14ac:dyDescent="0.15">
      <c r="A286" s="111" t="s">
        <v>433</v>
      </c>
      <c r="B286" s="111">
        <v>30</v>
      </c>
      <c r="C286" s="114">
        <v>279</v>
      </c>
      <c r="D286" s="112" t="str">
        <f>CONCATENATE("Hora Cátedra Enseñanza Media ",B286," hs Esc Esp")</f>
        <v>Hora Cátedra Enseñanza Media 30 hs Esc Esp</v>
      </c>
      <c r="E286" s="169">
        <v>2370</v>
      </c>
      <c r="F286" s="113">
        <f>ROUND(E286*Valores!$C$2,2)</f>
        <v>231800.22</v>
      </c>
      <c r="G286" s="169">
        <v>0</v>
      </c>
      <c r="H286" s="113">
        <f>ROUND(G286*Valores!$C$2,2)</f>
        <v>0</v>
      </c>
      <c r="I286" s="169">
        <v>0</v>
      </c>
      <c r="J286" s="113">
        <f>ROUND(I286*Valores!$C$2,2)</f>
        <v>0</v>
      </c>
      <c r="K286" s="169">
        <v>0</v>
      </c>
      <c r="L286" s="113">
        <f>ROUND(K286*Valores!$C$2,2)</f>
        <v>0</v>
      </c>
      <c r="M286" s="113">
        <f>ROUND(IF($H$2=0,IF(AND(A286&lt;&gt;"13-930",A286&lt;&gt;"13-940"),(SUM(F286,H286,J286,L286,W286,S286,Q286)*Valores!$C$4),0),0),2)</f>
        <v>78876.41</v>
      </c>
      <c r="N286" s="113">
        <f t="shared" si="47"/>
        <v>0</v>
      </c>
      <c r="O286" s="113">
        <f>Valores!C$65*B286</f>
        <v>199541.1</v>
      </c>
      <c r="P286" s="113">
        <f>ROUND(IF((Valores!$E$5*B286)&lt;=Valores!$F$5,Valores!$E$5*B286,Valores!$F$5),2)</f>
        <v>74997.64</v>
      </c>
      <c r="Q286" s="113">
        <f>IF($F$4="NO",Valores!$C$28*B286,Valores!$C$28*B286/2)</f>
        <v>52411.199999999997</v>
      </c>
      <c r="R286" s="113">
        <f>Valores!$C$7*B286</f>
        <v>31294.200000000004</v>
      </c>
      <c r="S286" s="113">
        <f t="shared" si="52"/>
        <v>31294.2</v>
      </c>
      <c r="T286" s="113">
        <v>0</v>
      </c>
      <c r="U286" s="113">
        <v>0</v>
      </c>
      <c r="V286" s="169">
        <v>0</v>
      </c>
      <c r="W286" s="113">
        <f>ROUND(V286*Valores!$C$2,2)</f>
        <v>0</v>
      </c>
      <c r="X286" s="113">
        <v>0</v>
      </c>
      <c r="Y286" s="188">
        <v>0</v>
      </c>
      <c r="Z286" s="113">
        <f t="shared" si="48"/>
        <v>0</v>
      </c>
      <c r="AA286" s="169">
        <v>94</v>
      </c>
      <c r="AB286" s="113">
        <f>ROUND(AA286*Valores!$C$2,2)</f>
        <v>9193.76</v>
      </c>
      <c r="AC286" s="113">
        <f>ROUND(IF($F$4="NO",Valores!$C$33*B286,Valores!$C$33*B286/2),2)</f>
        <v>46755.54</v>
      </c>
      <c r="AD286" s="113">
        <f>SUM(F286,H286,J286,L286,M286,N286,O286,P286,Q286,S286,T286,U286,W286,X286,Z286,AB286,AC286)*Valores!$C$58</f>
        <v>72487.006999999998</v>
      </c>
      <c r="AE286" s="113">
        <f t="shared" si="49"/>
        <v>797357.07699999993</v>
      </c>
      <c r="AF286" s="113">
        <f>IF(Valores!$C$13*B286&gt;Valores!$F$13,Valores!$F$13,Valores!$C$13*B286)</f>
        <v>72856</v>
      </c>
      <c r="AG286" s="113">
        <f>IF((Valores!$C$59/20*B286)&gt;Valores!$C$59,Valores!$C$59,Valores!$C$59/20*B286)</f>
        <v>25000</v>
      </c>
      <c r="AH286" s="113">
        <f t="shared" si="45"/>
        <v>97856</v>
      </c>
      <c r="AI286" s="113">
        <f>AE286*Valores!$C$39</f>
        <v>-87709.27846999999</v>
      </c>
      <c r="AJ286" s="113">
        <f>IF(AE286&lt;Valores!$E$40,-0.02,IF(AE286&lt;Valores!$F$40,-0.03,-0.04))*AE286</f>
        <v>-23920.712309999995</v>
      </c>
      <c r="AK286" s="113">
        <f>AE286*Valores!$C$42</f>
        <v>-43854.639234999995</v>
      </c>
      <c r="AL286" s="113">
        <f>Valores!$C$56</f>
        <v>-1270.1600000000001</v>
      </c>
      <c r="AM286" s="113">
        <f>IF($F$5=0,Valores!$C$57,(Valores!$C$57+$F$5*(Valores!$C$57)))</f>
        <v>-7026</v>
      </c>
      <c r="AN286" s="113">
        <f t="shared" si="50"/>
        <v>731432.2869849999</v>
      </c>
      <c r="AO286" s="113">
        <f t="shared" si="44"/>
        <v>-87709.27846999999</v>
      </c>
      <c r="AP286" s="113">
        <f t="shared" si="51"/>
        <v>-23920.712309999995</v>
      </c>
      <c r="AQ286" s="113">
        <f>AE286*Valores!$C$43</f>
        <v>-21528.641078999997</v>
      </c>
      <c r="AR286" s="113">
        <f>AE286*Valores!$C$44</f>
        <v>-2392.0712309999999</v>
      </c>
      <c r="AS286" s="113">
        <f t="shared" si="46"/>
        <v>759662.37390999997</v>
      </c>
      <c r="AT286" s="113">
        <f>AE286*Valores!$C$46</f>
        <v>127577.13231999999</v>
      </c>
      <c r="AU286" s="113">
        <f>AE286*Valores!$C$47</f>
        <v>55814.995390000004</v>
      </c>
      <c r="AV286" s="113">
        <f>AE286*Valores!$C$48</f>
        <v>7973.5707699999994</v>
      </c>
      <c r="AW286" s="113">
        <f>AE286*Valores!$C$50</f>
        <v>27907.497695000002</v>
      </c>
      <c r="AX286" s="113">
        <f>AE286*Valores!$C$52</f>
        <v>43057.282157999995</v>
      </c>
      <c r="AY286" s="113">
        <f>AE286*Valores!$C$51</f>
        <v>4784.1424619999998</v>
      </c>
      <c r="AZ286" s="114"/>
      <c r="BA286" s="114">
        <f t="shared" si="43"/>
        <v>30</v>
      </c>
      <c r="BB286" s="111" t="s">
        <v>4</v>
      </c>
    </row>
    <row r="287" spans="1:54" s="100" customFormat="1" ht="11.25" customHeight="1" x14ac:dyDescent="0.15">
      <c r="A287" s="111" t="s">
        <v>433</v>
      </c>
      <c r="B287" s="111">
        <v>31</v>
      </c>
      <c r="C287" s="114">
        <v>280</v>
      </c>
      <c r="D287" s="112" t="str">
        <f>CONCATENATE("Hora Cátedra Enseñanza Media ",B287," hs")</f>
        <v>Hora Cátedra Enseñanza Media 31 hs</v>
      </c>
      <c r="E287" s="169">
        <v>2449</v>
      </c>
      <c r="F287" s="113">
        <f>ROUND(E287*Valores!$C$2,2)</f>
        <v>239526.89</v>
      </c>
      <c r="G287" s="169">
        <v>0</v>
      </c>
      <c r="H287" s="113">
        <f>ROUND(G287*Valores!$C$2,2)</f>
        <v>0</v>
      </c>
      <c r="I287" s="169">
        <v>0</v>
      </c>
      <c r="J287" s="113">
        <f>ROUND(I287*Valores!$C$2,2)</f>
        <v>0</v>
      </c>
      <c r="K287" s="169">
        <v>0</v>
      </c>
      <c r="L287" s="113">
        <f>ROUND(K287*Valores!$C$2,2)</f>
        <v>0</v>
      </c>
      <c r="M287" s="113">
        <f>ROUND(IF($H$2=0,IF(AND(A287&lt;&gt;"13-930",A287&lt;&gt;"13-940"),(SUM(F287,H287,J287,L287,W287,S287,Q287)*Valores!$C$4),0),0),2)</f>
        <v>81505.62</v>
      </c>
      <c r="N287" s="113">
        <f t="shared" si="47"/>
        <v>0</v>
      </c>
      <c r="O287" s="113">
        <f>Valores!C$65*B287</f>
        <v>206192.47</v>
      </c>
      <c r="P287" s="113">
        <f>ROUND(IF((Valores!$E$5*B287)&lt;=Valores!$F$5,Valores!$E$5*B287,Valores!$F$5),2)</f>
        <v>74997.64</v>
      </c>
      <c r="Q287" s="113">
        <f>IF($F$4="NO",Valores!$C$28*B287,Valores!$C$28*B287/2)</f>
        <v>54158.239999999998</v>
      </c>
      <c r="R287" s="113">
        <f>Valores!$C$7*B287</f>
        <v>32337.340000000004</v>
      </c>
      <c r="S287" s="113">
        <f t="shared" si="52"/>
        <v>32337.34</v>
      </c>
      <c r="T287" s="113">
        <v>0</v>
      </c>
      <c r="U287" s="113">
        <v>0</v>
      </c>
      <c r="V287" s="169">
        <v>0</v>
      </c>
      <c r="W287" s="113">
        <f>ROUND(V287*Valores!$C$2,2)</f>
        <v>0</v>
      </c>
      <c r="X287" s="113">
        <v>0</v>
      </c>
      <c r="Y287" s="188">
        <v>0</v>
      </c>
      <c r="Z287" s="113">
        <f t="shared" si="48"/>
        <v>0</v>
      </c>
      <c r="AA287" s="169">
        <v>0</v>
      </c>
      <c r="AB287" s="113">
        <f>ROUND(AA287*Valores!$C$2,2)</f>
        <v>0</v>
      </c>
      <c r="AC287" s="113">
        <f>ROUND(IF($F$4="NO",Valores!$C$33*B287,Valores!$C$33*B287/2),2)</f>
        <v>48314.06</v>
      </c>
      <c r="AD287" s="113">
        <f>SUM(F287,H287,J287,L287,M287,N287,O287,P287,Q287,S287,T287,U287,W287,X287,Z287,AB287,AC287)*Valores!$C$58</f>
        <v>73703.22600000001</v>
      </c>
      <c r="AE287" s="113">
        <f t="shared" si="49"/>
        <v>810735.48600000003</v>
      </c>
      <c r="AF287" s="113">
        <f>IF(Valores!$C$13*B287&gt;Valores!$F$13,Valores!$F$13,Valores!$C$13*B287)</f>
        <v>72856</v>
      </c>
      <c r="AG287" s="113">
        <f>IF((Valores!$C$59/20*B287)&gt;Valores!$C$59,Valores!$C$59,Valores!$C$59/20*B287)</f>
        <v>25000</v>
      </c>
      <c r="AH287" s="113">
        <f t="shared" si="45"/>
        <v>97856</v>
      </c>
      <c r="AI287" s="113">
        <f>AE287*Valores!$C$39</f>
        <v>-89180.903460000001</v>
      </c>
      <c r="AJ287" s="113">
        <f>IF(AE287&lt;Valores!$E$40,-0.02,IF(AE287&lt;Valores!$F$40,-0.03,-0.04))*AE287</f>
        <v>-24322.064579999998</v>
      </c>
      <c r="AK287" s="113">
        <f>AE287*Valores!$C$42</f>
        <v>-44590.451730000001</v>
      </c>
      <c r="AL287" s="113">
        <f>Valores!$C$56</f>
        <v>-1270.1600000000001</v>
      </c>
      <c r="AM287" s="113">
        <f>IF($F$5=0,Valores!$C$57,(Valores!$C$57+$F$5*(Valores!$C$57)))</f>
        <v>-7026</v>
      </c>
      <c r="AN287" s="113">
        <f t="shared" si="50"/>
        <v>742201.90623000008</v>
      </c>
      <c r="AO287" s="113">
        <f t="shared" si="44"/>
        <v>-89180.903460000001</v>
      </c>
      <c r="AP287" s="113">
        <f t="shared" si="51"/>
        <v>-24322.064579999998</v>
      </c>
      <c r="AQ287" s="113">
        <f>AE287*Valores!$C$43</f>
        <v>-21889.858122000001</v>
      </c>
      <c r="AR287" s="113">
        <f>AE287*Valores!$C$44</f>
        <v>-2432.2064580000001</v>
      </c>
      <c r="AS287" s="113">
        <f t="shared" si="46"/>
        <v>770766.45338000008</v>
      </c>
      <c r="AT287" s="113">
        <f>AE287*Valores!$C$46</f>
        <v>129717.67776000001</v>
      </c>
      <c r="AU287" s="113">
        <f>AE287*Valores!$C$47</f>
        <v>56751.484020000011</v>
      </c>
      <c r="AV287" s="113">
        <f>AE287*Valores!$C$48</f>
        <v>8107.3548600000004</v>
      </c>
      <c r="AW287" s="113">
        <f>AE287*Valores!$C$50</f>
        <v>28375.742010000005</v>
      </c>
      <c r="AX287" s="113">
        <f>AE287*Valores!$C$52</f>
        <v>43779.716244000003</v>
      </c>
      <c r="AY287" s="113">
        <f>AE287*Valores!$C$51</f>
        <v>4864.4129160000002</v>
      </c>
      <c r="AZ287" s="114"/>
      <c r="BA287" s="114">
        <f t="shared" ref="BA287:BA299" si="53">1*B287</f>
        <v>31</v>
      </c>
      <c r="BB287" s="111" t="s">
        <v>8</v>
      </c>
    </row>
    <row r="288" spans="1:54" s="100" customFormat="1" ht="11.25" customHeight="1" x14ac:dyDescent="0.15">
      <c r="A288" s="111" t="s">
        <v>433</v>
      </c>
      <c r="B288" s="111">
        <v>31</v>
      </c>
      <c r="C288" s="114">
        <v>281</v>
      </c>
      <c r="D288" s="112" t="str">
        <f>CONCATENATE("Hora Cátedra Enseñanza Media ",B288," hs Esc Esp")</f>
        <v>Hora Cátedra Enseñanza Media 31 hs Esc Esp</v>
      </c>
      <c r="E288" s="169">
        <v>2449</v>
      </c>
      <c r="F288" s="113">
        <f>ROUND(E288*Valores!$C$2,2)</f>
        <v>239526.89</v>
      </c>
      <c r="G288" s="169">
        <v>0</v>
      </c>
      <c r="H288" s="113">
        <f>ROUND(G288*Valores!$C$2,2)</f>
        <v>0</v>
      </c>
      <c r="I288" s="169">
        <v>0</v>
      </c>
      <c r="J288" s="113">
        <f>ROUND(I288*Valores!$C$2,2)</f>
        <v>0</v>
      </c>
      <c r="K288" s="169">
        <v>0</v>
      </c>
      <c r="L288" s="113">
        <f>ROUND(K288*Valores!$C$2,2)</f>
        <v>0</v>
      </c>
      <c r="M288" s="113">
        <f>ROUND(IF($H$2=0,IF(AND(A288&lt;&gt;"13-930",A288&lt;&gt;"13-940"),(SUM(F288,H288,J288,L288,W288,S288,Q288)*Valores!$C$4),0),0),2)</f>
        <v>81505.62</v>
      </c>
      <c r="N288" s="113">
        <f t="shared" si="47"/>
        <v>0</v>
      </c>
      <c r="O288" s="113">
        <f>Valores!C$65*B288</f>
        <v>206192.47</v>
      </c>
      <c r="P288" s="113">
        <f>ROUND(IF((Valores!$E$5*B288)&lt;=Valores!$F$5,Valores!$E$5*B288,Valores!$F$5),2)</f>
        <v>74997.64</v>
      </c>
      <c r="Q288" s="113">
        <f>IF($F$4="NO",Valores!$C$28*B288,Valores!$C$28*B288/2)</f>
        <v>54158.239999999998</v>
      </c>
      <c r="R288" s="113">
        <f>Valores!$C$7*B288</f>
        <v>32337.340000000004</v>
      </c>
      <c r="S288" s="113">
        <f t="shared" si="52"/>
        <v>32337.34</v>
      </c>
      <c r="T288" s="113">
        <v>0</v>
      </c>
      <c r="U288" s="113">
        <v>0</v>
      </c>
      <c r="V288" s="169">
        <v>0</v>
      </c>
      <c r="W288" s="113">
        <f>ROUND(V288*Valores!$C$2,2)</f>
        <v>0</v>
      </c>
      <c r="X288" s="113">
        <v>0</v>
      </c>
      <c r="Y288" s="188">
        <v>0</v>
      </c>
      <c r="Z288" s="113">
        <f t="shared" si="48"/>
        <v>0</v>
      </c>
      <c r="AA288" s="169">
        <v>94</v>
      </c>
      <c r="AB288" s="113">
        <f>ROUND(AA288*Valores!$C$2,2)</f>
        <v>9193.76</v>
      </c>
      <c r="AC288" s="113">
        <f>ROUND(IF($F$4="NO",Valores!$C$33*B288,Valores!$C$33*B288/2),2)</f>
        <v>48314.06</v>
      </c>
      <c r="AD288" s="113">
        <f>SUM(F288,H288,J288,L288,M288,N288,O288,P288,Q288,S288,T288,U288,W288,X288,Z288,AB288,AC288)*Valores!$C$58</f>
        <v>74622.601999999999</v>
      </c>
      <c r="AE288" s="113">
        <f t="shared" si="49"/>
        <v>820848.62199999997</v>
      </c>
      <c r="AF288" s="113">
        <f>IF(Valores!$C$13*B288&gt;Valores!$F$13,Valores!$F$13,Valores!$C$13*B288)</f>
        <v>72856</v>
      </c>
      <c r="AG288" s="113">
        <f>IF((Valores!$C$59/20*B288)&gt;Valores!$C$59,Valores!$C$59,Valores!$C$59/20*B288)</f>
        <v>25000</v>
      </c>
      <c r="AH288" s="113">
        <f t="shared" si="45"/>
        <v>97856</v>
      </c>
      <c r="AI288" s="113">
        <f>AE288*Valores!$C$39</f>
        <v>-90293.348419999995</v>
      </c>
      <c r="AJ288" s="113">
        <f>IF(AE288&lt;Valores!$E$40,-0.02,IF(AE288&lt;Valores!$F$40,-0.03,-0.04))*AE288</f>
        <v>-24625.458659999997</v>
      </c>
      <c r="AK288" s="113">
        <f>AE288*Valores!$C$42</f>
        <v>-45146.674209999997</v>
      </c>
      <c r="AL288" s="113">
        <f>Valores!$C$56</f>
        <v>-1270.1600000000001</v>
      </c>
      <c r="AM288" s="113">
        <f>IF($F$5=0,Valores!$C$57,(Valores!$C$57+$F$5*(Valores!$C$57)))</f>
        <v>-7026</v>
      </c>
      <c r="AN288" s="113">
        <f t="shared" si="50"/>
        <v>750342.98071000003</v>
      </c>
      <c r="AO288" s="113">
        <f t="shared" si="44"/>
        <v>-90293.348419999995</v>
      </c>
      <c r="AP288" s="113">
        <f t="shared" si="51"/>
        <v>-24625.458659999997</v>
      </c>
      <c r="AQ288" s="113">
        <f>AE288*Valores!$C$43</f>
        <v>-22162.912794</v>
      </c>
      <c r="AR288" s="113">
        <f>AE288*Valores!$C$44</f>
        <v>-2462.5458659999999</v>
      </c>
      <c r="AS288" s="113">
        <f t="shared" si="46"/>
        <v>779160.35626000003</v>
      </c>
      <c r="AT288" s="113">
        <f>AE288*Valores!$C$46</f>
        <v>131335.77952000001</v>
      </c>
      <c r="AU288" s="113">
        <f>AE288*Valores!$C$47</f>
        <v>57459.403540000007</v>
      </c>
      <c r="AV288" s="113">
        <f>AE288*Valores!$C$48</f>
        <v>8208.4862200000007</v>
      </c>
      <c r="AW288" s="113">
        <f>AE288*Valores!$C$50</f>
        <v>28729.701770000003</v>
      </c>
      <c r="AX288" s="113">
        <f>AE288*Valores!$C$52</f>
        <v>44325.825588</v>
      </c>
      <c r="AY288" s="113">
        <f>AE288*Valores!$C$51</f>
        <v>4925.0917319999999</v>
      </c>
      <c r="AZ288" s="114"/>
      <c r="BA288" s="114">
        <f t="shared" si="53"/>
        <v>31</v>
      </c>
      <c r="BB288" s="111" t="s">
        <v>8</v>
      </c>
    </row>
    <row r="289" spans="1:1018" s="100" customFormat="1" ht="11.25" customHeight="1" x14ac:dyDescent="0.15">
      <c r="A289" s="111" t="s">
        <v>433</v>
      </c>
      <c r="B289" s="111">
        <v>32</v>
      </c>
      <c r="C289" s="114">
        <v>282</v>
      </c>
      <c r="D289" s="112" t="str">
        <f>CONCATENATE("Hora Cátedra Enseñanza Media ",B289," hs")</f>
        <v>Hora Cátedra Enseñanza Media 32 hs</v>
      </c>
      <c r="E289" s="169">
        <v>2528</v>
      </c>
      <c r="F289" s="113">
        <f>ROUND(E289*Valores!$C$2,2)</f>
        <v>247253.57</v>
      </c>
      <c r="G289" s="169">
        <v>0</v>
      </c>
      <c r="H289" s="113">
        <f>ROUND(G289*Valores!$C$2,2)</f>
        <v>0</v>
      </c>
      <c r="I289" s="169">
        <v>0</v>
      </c>
      <c r="J289" s="113">
        <f>ROUND(I289*Valores!$C$2,2)</f>
        <v>0</v>
      </c>
      <c r="K289" s="169">
        <v>0</v>
      </c>
      <c r="L289" s="113">
        <f>ROUND(K289*Valores!$C$2,2)</f>
        <v>0</v>
      </c>
      <c r="M289" s="113">
        <f>ROUND(IF($H$2=0,IF(AND(A289&lt;&gt;"13-930",A289&lt;&gt;"13-940"),(SUM(F289,H289,J289,L289,W289,S289,Q289)*Valores!$C$4),0),0),2)</f>
        <v>84134.83</v>
      </c>
      <c r="N289" s="113">
        <f t="shared" si="47"/>
        <v>0</v>
      </c>
      <c r="O289" s="113">
        <f>Valores!C$65*B289</f>
        <v>212843.84</v>
      </c>
      <c r="P289" s="113">
        <f>ROUND(IF((Valores!$E$5*B289)&lt;=Valores!$F$5,Valores!$E$5*B289,Valores!$F$5),2)</f>
        <v>74997.64</v>
      </c>
      <c r="Q289" s="113">
        <f>IF($F$4="NO",Valores!$C$28*B289,Valores!$C$28*B289/2)</f>
        <v>55905.279999999999</v>
      </c>
      <c r="R289" s="113">
        <f>Valores!$C$7*B289</f>
        <v>33380.480000000003</v>
      </c>
      <c r="S289" s="113">
        <f t="shared" si="52"/>
        <v>33380.480000000003</v>
      </c>
      <c r="T289" s="113">
        <v>0</v>
      </c>
      <c r="U289" s="113">
        <v>0</v>
      </c>
      <c r="V289" s="169">
        <v>0</v>
      </c>
      <c r="W289" s="113">
        <f>ROUND(V289*Valores!$C$2,2)</f>
        <v>0</v>
      </c>
      <c r="X289" s="113">
        <v>0</v>
      </c>
      <c r="Y289" s="188">
        <v>0</v>
      </c>
      <c r="Z289" s="113">
        <f t="shared" si="48"/>
        <v>0</v>
      </c>
      <c r="AA289" s="169">
        <v>0</v>
      </c>
      <c r="AB289" s="113">
        <f>ROUND(AA289*Valores!$C$2,2)</f>
        <v>0</v>
      </c>
      <c r="AC289" s="113">
        <f>ROUND(IF($F$4="NO",Valores!$C$33*B289,Valores!$C$33*B289/2),2)</f>
        <v>49872.58</v>
      </c>
      <c r="AD289" s="113">
        <f>SUM(F289,H289,J289,L289,M289,N289,O289,P289,Q289,S289,T289,U289,W289,X289,Z289,AB289,AC289)*Valores!$C$58</f>
        <v>75838.822</v>
      </c>
      <c r="AE289" s="113">
        <f t="shared" si="49"/>
        <v>834227.04200000002</v>
      </c>
      <c r="AF289" s="113">
        <f>IF(Valores!$C$13*B289&gt;Valores!$F$13,Valores!$F$13,Valores!$C$13*B289)</f>
        <v>72856</v>
      </c>
      <c r="AG289" s="113">
        <f>IF((Valores!$C$59/20*B289)&gt;Valores!$C$59,Valores!$C$59,Valores!$C$59/20*B289)</f>
        <v>25000</v>
      </c>
      <c r="AH289" s="113">
        <f t="shared" si="45"/>
        <v>97856</v>
      </c>
      <c r="AI289" s="113">
        <f>AE289*Valores!$C$39</f>
        <v>-91764.974620000008</v>
      </c>
      <c r="AJ289" s="113">
        <f>IF(AE289&lt;Valores!$E$40,-0.02,IF(AE289&lt;Valores!$F$40,-0.03,-0.04))*AE289</f>
        <v>-25026.811259999999</v>
      </c>
      <c r="AK289" s="113">
        <f>AE289*Valores!$C$42</f>
        <v>-45882.487310000004</v>
      </c>
      <c r="AL289" s="113">
        <f>Valores!$C$56</f>
        <v>-1270.1600000000001</v>
      </c>
      <c r="AM289" s="113">
        <f>IF($F$5=0,Valores!$C$57,(Valores!$C$57+$F$5*(Valores!$C$57)))</f>
        <v>-7026</v>
      </c>
      <c r="AN289" s="113">
        <f t="shared" si="50"/>
        <v>761112.60881000001</v>
      </c>
      <c r="AO289" s="113">
        <f t="shared" si="44"/>
        <v>-91764.974620000008</v>
      </c>
      <c r="AP289" s="113">
        <f t="shared" si="51"/>
        <v>-25026.811259999999</v>
      </c>
      <c r="AQ289" s="113">
        <f>AE289*Valores!$C$43</f>
        <v>-22524.130133999999</v>
      </c>
      <c r="AR289" s="113">
        <f>AE289*Valores!$C$44</f>
        <v>-2502.6811259999999</v>
      </c>
      <c r="AS289" s="113">
        <f t="shared" si="46"/>
        <v>790264.44485999993</v>
      </c>
      <c r="AT289" s="113">
        <f>AE289*Valores!$C$46</f>
        <v>133476.32672000001</v>
      </c>
      <c r="AU289" s="113">
        <f>AE289*Valores!$C$47</f>
        <v>58395.892940000005</v>
      </c>
      <c r="AV289" s="113">
        <f>AE289*Valores!$C$48</f>
        <v>8342.2704200000007</v>
      </c>
      <c r="AW289" s="113">
        <f>AE289*Valores!$C$50</f>
        <v>29197.946470000003</v>
      </c>
      <c r="AX289" s="113">
        <f>AE289*Valores!$C$52</f>
        <v>45048.260267999998</v>
      </c>
      <c r="AY289" s="113">
        <f>AE289*Valores!$C$51</f>
        <v>5005.3622519999999</v>
      </c>
      <c r="AZ289" s="114"/>
      <c r="BA289" s="114">
        <f t="shared" si="53"/>
        <v>32</v>
      </c>
      <c r="BB289" s="111" t="s">
        <v>8</v>
      </c>
    </row>
    <row r="290" spans="1:1018" s="100" customFormat="1" ht="11.25" customHeight="1" x14ac:dyDescent="0.15">
      <c r="A290" s="111" t="s">
        <v>433</v>
      </c>
      <c r="B290" s="111">
        <v>32</v>
      </c>
      <c r="C290" s="114">
        <v>283</v>
      </c>
      <c r="D290" s="112" t="str">
        <f>CONCATENATE("Hora Cátedra Enseñanza Media ",B290," hs Esc Esp")</f>
        <v>Hora Cátedra Enseñanza Media 32 hs Esc Esp</v>
      </c>
      <c r="E290" s="169">
        <v>2528</v>
      </c>
      <c r="F290" s="113">
        <f>ROUND(E290*Valores!$C$2,2)</f>
        <v>247253.57</v>
      </c>
      <c r="G290" s="169">
        <v>0</v>
      </c>
      <c r="H290" s="113">
        <f>ROUND(G290*Valores!$C$2,2)</f>
        <v>0</v>
      </c>
      <c r="I290" s="169">
        <v>0</v>
      </c>
      <c r="J290" s="113">
        <f>ROUND(I290*Valores!$C$2,2)</f>
        <v>0</v>
      </c>
      <c r="K290" s="169">
        <v>0</v>
      </c>
      <c r="L290" s="113">
        <f>ROUND(K290*Valores!$C$2,2)</f>
        <v>0</v>
      </c>
      <c r="M290" s="113">
        <f>ROUND(IF($H$2=0,IF(AND(A290&lt;&gt;"13-930",A290&lt;&gt;"13-940"),(SUM(F290,H290,J290,L290,W290,S290,Q290)*Valores!$C$4),0),0),2)</f>
        <v>84134.83</v>
      </c>
      <c r="N290" s="113">
        <f t="shared" si="47"/>
        <v>0</v>
      </c>
      <c r="O290" s="113">
        <f>Valores!C$65*B290</f>
        <v>212843.84</v>
      </c>
      <c r="P290" s="113">
        <f>ROUND(IF((Valores!$E$5*B290)&lt;=Valores!$F$5,Valores!$E$5*B290,Valores!$F$5),2)</f>
        <v>74997.64</v>
      </c>
      <c r="Q290" s="113">
        <f>IF($F$4="NO",Valores!$C$28*B290,Valores!$C$28*B290/2)</f>
        <v>55905.279999999999</v>
      </c>
      <c r="R290" s="113">
        <f>Valores!$C$7*B290</f>
        <v>33380.480000000003</v>
      </c>
      <c r="S290" s="113">
        <f t="shared" si="52"/>
        <v>33380.480000000003</v>
      </c>
      <c r="T290" s="113">
        <v>0</v>
      </c>
      <c r="U290" s="113">
        <v>0</v>
      </c>
      <c r="V290" s="169">
        <v>0</v>
      </c>
      <c r="W290" s="113">
        <f>ROUND(V290*Valores!$C$2,2)</f>
        <v>0</v>
      </c>
      <c r="X290" s="113">
        <v>0</v>
      </c>
      <c r="Y290" s="188">
        <v>0</v>
      </c>
      <c r="Z290" s="113">
        <f t="shared" si="48"/>
        <v>0</v>
      </c>
      <c r="AA290" s="169">
        <v>94</v>
      </c>
      <c r="AB290" s="113">
        <f>ROUND(AA290*Valores!$C$2,2)</f>
        <v>9193.76</v>
      </c>
      <c r="AC290" s="113">
        <f>ROUND(IF($F$4="NO",Valores!$C$33*B290,Valores!$C$33*B290/2),2)</f>
        <v>49872.58</v>
      </c>
      <c r="AD290" s="113">
        <f>SUM(F290,H290,J290,L290,M290,N290,O290,P290,Q290,S290,T290,U290,W290,X290,Z290,AB290,AC290)*Valores!$C$58</f>
        <v>76758.198000000004</v>
      </c>
      <c r="AE290" s="113">
        <f t="shared" si="49"/>
        <v>844340.17799999996</v>
      </c>
      <c r="AF290" s="113">
        <f>IF(Valores!$C$13*B290&gt;Valores!$F$13,Valores!$F$13,Valores!$C$13*B290)</f>
        <v>72856</v>
      </c>
      <c r="AG290" s="113">
        <f>IF((Valores!$C$59/20*B290)&gt;Valores!$C$59,Valores!$C$59,Valores!$C$59/20*B290)</f>
        <v>25000</v>
      </c>
      <c r="AH290" s="113">
        <f t="shared" si="45"/>
        <v>97856</v>
      </c>
      <c r="AI290" s="113">
        <f>AE290*Valores!$C$39</f>
        <v>-92877.419580000002</v>
      </c>
      <c r="AJ290" s="113">
        <f>IF(AE290&lt;Valores!$E$40,-0.02,IF(AE290&lt;Valores!$F$40,-0.03,-0.04))*AE290</f>
        <v>-25330.205339999997</v>
      </c>
      <c r="AK290" s="113">
        <f>AE290*Valores!$C$42</f>
        <v>-46438.709790000001</v>
      </c>
      <c r="AL290" s="113">
        <f>Valores!$C$56</f>
        <v>-1270.1600000000001</v>
      </c>
      <c r="AM290" s="113">
        <f>IF($F$5=0,Valores!$C$57,(Valores!$C$57+$F$5*(Valores!$C$57)))</f>
        <v>-7026</v>
      </c>
      <c r="AN290" s="113">
        <f t="shared" si="50"/>
        <v>769253.68328999996</v>
      </c>
      <c r="AO290" s="113">
        <f t="shared" si="44"/>
        <v>-92877.419580000002</v>
      </c>
      <c r="AP290" s="113">
        <f t="shared" si="51"/>
        <v>-25330.205339999997</v>
      </c>
      <c r="AQ290" s="113">
        <f>AE290*Valores!$C$43</f>
        <v>-22797.184805999997</v>
      </c>
      <c r="AR290" s="113">
        <f>AE290*Valores!$C$44</f>
        <v>-2533.0205339999998</v>
      </c>
      <c r="AS290" s="113">
        <f t="shared" si="46"/>
        <v>798658.34773999988</v>
      </c>
      <c r="AT290" s="113">
        <f>AE290*Valores!$C$46</f>
        <v>135094.42848</v>
      </c>
      <c r="AU290" s="113">
        <f>AE290*Valores!$C$47</f>
        <v>59103.812460000001</v>
      </c>
      <c r="AV290" s="113">
        <f>AE290*Valores!$C$48</f>
        <v>8443.4017800000001</v>
      </c>
      <c r="AW290" s="113">
        <f>AE290*Valores!$C$50</f>
        <v>29551.906230000001</v>
      </c>
      <c r="AX290" s="113">
        <f>AE290*Valores!$C$52</f>
        <v>45594.369611999995</v>
      </c>
      <c r="AY290" s="113">
        <f>AE290*Valores!$C$51</f>
        <v>5066.0410679999995</v>
      </c>
      <c r="AZ290" s="114"/>
      <c r="BA290" s="114">
        <f t="shared" si="53"/>
        <v>32</v>
      </c>
      <c r="BB290" s="111" t="s">
        <v>8</v>
      </c>
    </row>
    <row r="291" spans="1:1018" s="100" customFormat="1" ht="11.25" customHeight="1" x14ac:dyDescent="0.15">
      <c r="A291" s="111" t="s">
        <v>433</v>
      </c>
      <c r="B291" s="111">
        <v>33</v>
      </c>
      <c r="C291" s="114">
        <v>284</v>
      </c>
      <c r="D291" s="112" t="str">
        <f>CONCATENATE("Hora Cátedra Enseñanza Media ",B291," hs")</f>
        <v>Hora Cátedra Enseñanza Media 33 hs</v>
      </c>
      <c r="E291" s="169">
        <v>2607</v>
      </c>
      <c r="F291" s="113">
        <f>ROUND(E291*Valores!$C$2,2)</f>
        <v>254980.24</v>
      </c>
      <c r="G291" s="169">
        <v>0</v>
      </c>
      <c r="H291" s="113">
        <f>ROUND(G291*Valores!$C$2,2)</f>
        <v>0</v>
      </c>
      <c r="I291" s="169">
        <v>0</v>
      </c>
      <c r="J291" s="113">
        <f>ROUND(I291*Valores!$C$2,2)</f>
        <v>0</v>
      </c>
      <c r="K291" s="169">
        <v>0</v>
      </c>
      <c r="L291" s="113">
        <f>ROUND(K291*Valores!$C$2,2)</f>
        <v>0</v>
      </c>
      <c r="M291" s="113">
        <f>ROUND(IF($H$2=0,IF(AND(A291&lt;&gt;"13-930",A291&lt;&gt;"13-940"),(SUM(F291,H291,J291,L291,W291,S291,Q291)*Valores!$C$4),0),0),2)</f>
        <v>86764.05</v>
      </c>
      <c r="N291" s="113">
        <f t="shared" si="47"/>
        <v>0</v>
      </c>
      <c r="O291" s="113">
        <f>Valores!C$65*B291</f>
        <v>219495.21</v>
      </c>
      <c r="P291" s="113">
        <f>ROUND(IF((Valores!$E$5*B291)&lt;=Valores!$F$5,Valores!$E$5*B291,Valores!$F$5),2)</f>
        <v>74997.64</v>
      </c>
      <c r="Q291" s="113">
        <f>IF($F$4="NO",Valores!$C$28*B291,Valores!$C$28*B291/2)</f>
        <v>57652.32</v>
      </c>
      <c r="R291" s="113">
        <f>Valores!$C$7*B291</f>
        <v>34423.620000000003</v>
      </c>
      <c r="S291" s="113">
        <f t="shared" si="52"/>
        <v>34423.620000000003</v>
      </c>
      <c r="T291" s="113">
        <v>0</v>
      </c>
      <c r="U291" s="113">
        <v>0</v>
      </c>
      <c r="V291" s="169">
        <v>0</v>
      </c>
      <c r="W291" s="113">
        <f>ROUND(V291*Valores!$C$2,2)</f>
        <v>0</v>
      </c>
      <c r="X291" s="113">
        <v>0</v>
      </c>
      <c r="Y291" s="188">
        <v>0</v>
      </c>
      <c r="Z291" s="113">
        <f t="shared" si="48"/>
        <v>0</v>
      </c>
      <c r="AA291" s="169">
        <v>0</v>
      </c>
      <c r="AB291" s="113">
        <f>ROUND(AA291*Valores!$C$2,2)</f>
        <v>0</v>
      </c>
      <c r="AC291" s="113">
        <f>ROUND(IF($F$4="NO",Valores!$C$33*B291,Valores!$C$33*B291/2),2)</f>
        <v>51431.09</v>
      </c>
      <c r="AD291" s="113">
        <f>SUM(F291,H291,J291,L291,M291,N291,O291,P291,Q291,S291,T291,U291,W291,X291,Z291,AB291,AC291)*Valores!$C$58</f>
        <v>77974.417000000001</v>
      </c>
      <c r="AE291" s="113">
        <f t="shared" si="49"/>
        <v>857718.58699999994</v>
      </c>
      <c r="AF291" s="113">
        <f>IF(Valores!$C$13*B291&gt;Valores!$F$13,Valores!$F$13,Valores!$C$13*B291)</f>
        <v>72856</v>
      </c>
      <c r="AG291" s="113">
        <f>IF((Valores!$C$59/20*B291)&gt;Valores!$C$59,Valores!$C$59,Valores!$C$59/20*B291)</f>
        <v>25000</v>
      </c>
      <c r="AH291" s="113">
        <f t="shared" si="45"/>
        <v>97856</v>
      </c>
      <c r="AI291" s="113">
        <f>AE291*Valores!$C$39</f>
        <v>-94349.044569999998</v>
      </c>
      <c r="AJ291" s="113">
        <f>IF(AE291&lt;Valores!$E$40,-0.02,IF(AE291&lt;Valores!$F$40,-0.03,-0.04))*AE291</f>
        <v>-25731.557609999996</v>
      </c>
      <c r="AK291" s="113">
        <f>AE291*Valores!$C$42</f>
        <v>-47174.522284999999</v>
      </c>
      <c r="AL291" s="113">
        <f>Valores!$C$56</f>
        <v>-1270.1600000000001</v>
      </c>
      <c r="AM291" s="113">
        <f>IF($F$5=0,Valores!$C$57,(Valores!$C$57+$F$5*(Valores!$C$57)))</f>
        <v>-7026</v>
      </c>
      <c r="AN291" s="113">
        <f t="shared" si="50"/>
        <v>780023.30253499991</v>
      </c>
      <c r="AO291" s="113">
        <f t="shared" si="44"/>
        <v>-94349.044569999998</v>
      </c>
      <c r="AP291" s="113">
        <f t="shared" si="51"/>
        <v>-25731.557609999996</v>
      </c>
      <c r="AQ291" s="113">
        <f>AE291*Valores!$C$43</f>
        <v>-23158.401848999998</v>
      </c>
      <c r="AR291" s="113">
        <f>AE291*Valores!$C$44</f>
        <v>-2573.155761</v>
      </c>
      <c r="AS291" s="113">
        <f t="shared" si="46"/>
        <v>809762.42720999999</v>
      </c>
      <c r="AT291" s="113">
        <f>AE291*Valores!$C$46</f>
        <v>137234.97391999999</v>
      </c>
      <c r="AU291" s="113">
        <f>AE291*Valores!$C$47</f>
        <v>60040.301090000001</v>
      </c>
      <c r="AV291" s="113">
        <f>AE291*Valores!$C$48</f>
        <v>8577.1858699999993</v>
      </c>
      <c r="AW291" s="113">
        <f>AE291*Valores!$C$50</f>
        <v>30020.150545</v>
      </c>
      <c r="AX291" s="113">
        <f>AE291*Valores!$C$52</f>
        <v>46316.803697999996</v>
      </c>
      <c r="AY291" s="113">
        <f>AE291*Valores!$C$51</f>
        <v>5146.311522</v>
      </c>
      <c r="AZ291" s="114"/>
      <c r="BA291" s="114">
        <f t="shared" si="53"/>
        <v>33</v>
      </c>
      <c r="BB291" s="111" t="s">
        <v>8</v>
      </c>
    </row>
    <row r="292" spans="1:1018" s="100" customFormat="1" ht="11.25" customHeight="1" x14ac:dyDescent="0.15">
      <c r="A292" s="111" t="s">
        <v>433</v>
      </c>
      <c r="B292" s="111">
        <v>33</v>
      </c>
      <c r="C292" s="114">
        <v>285</v>
      </c>
      <c r="D292" s="111" t="str">
        <f>CONCATENATE("Hora Cátedra Enseñanza Media ",B292," hs Esc Esp")</f>
        <v>Hora Cátedra Enseñanza Media 33 hs Esc Esp</v>
      </c>
      <c r="E292" s="170">
        <v>2607</v>
      </c>
      <c r="F292" s="113">
        <f>ROUND(E292*Valores!$C$2,2)</f>
        <v>254980.24</v>
      </c>
      <c r="G292" s="169">
        <v>0</v>
      </c>
      <c r="H292" s="113">
        <f>ROUND(G292*Valores!$C$2,2)</f>
        <v>0</v>
      </c>
      <c r="I292" s="169">
        <v>0</v>
      </c>
      <c r="J292" s="113">
        <f>ROUND(I292*Valores!$C$2,2)</f>
        <v>0</v>
      </c>
      <c r="K292" s="169">
        <v>0</v>
      </c>
      <c r="L292" s="113">
        <f>ROUND(K292*Valores!$C$2,2)</f>
        <v>0</v>
      </c>
      <c r="M292" s="113">
        <f>ROUND(IF($H$2=0,IF(AND(A292&lt;&gt;"13-930",A292&lt;&gt;"13-940"),(SUM(F292,H292,J292,L292,W292,S292,Q292)*Valores!$C$4),0),0),2)</f>
        <v>86764.05</v>
      </c>
      <c r="N292" s="113">
        <f t="shared" si="47"/>
        <v>0</v>
      </c>
      <c r="O292" s="113">
        <f>Valores!C$65*B292</f>
        <v>219495.21</v>
      </c>
      <c r="P292" s="113">
        <f>ROUND(IF((Valores!$E$5*B292)&lt;=Valores!$F$5,Valores!$E$5*B292,Valores!$F$5),2)</f>
        <v>74997.64</v>
      </c>
      <c r="Q292" s="113">
        <f>IF($F$4="NO",Valores!$C$28*B292,Valores!$C$28*B292/2)</f>
        <v>57652.32</v>
      </c>
      <c r="R292" s="113">
        <f>Valores!$C$7*B292</f>
        <v>34423.620000000003</v>
      </c>
      <c r="S292" s="113">
        <f t="shared" si="52"/>
        <v>34423.620000000003</v>
      </c>
      <c r="T292" s="113">
        <v>0</v>
      </c>
      <c r="U292" s="113">
        <v>0</v>
      </c>
      <c r="V292" s="169">
        <v>0</v>
      </c>
      <c r="W292" s="113">
        <f>ROUND(V292*Valores!$C$2,2)</f>
        <v>0</v>
      </c>
      <c r="X292" s="113">
        <v>0</v>
      </c>
      <c r="Y292" s="188">
        <v>0</v>
      </c>
      <c r="Z292" s="113">
        <f t="shared" si="48"/>
        <v>0</v>
      </c>
      <c r="AA292" s="169">
        <v>94</v>
      </c>
      <c r="AB292" s="113">
        <f>ROUND(AA292*Valores!$C$2,2)</f>
        <v>9193.76</v>
      </c>
      <c r="AC292" s="113">
        <f>ROUND(IF($F$4="NO",Valores!$C$33*B292,Valores!$C$33*B292/2),2)</f>
        <v>51431.09</v>
      </c>
      <c r="AD292" s="113">
        <f>SUM(F292,H292,J292,L292,M292,N292,O292,P292,Q292,S292,T292,U292,W292,X292,Z292,AB292,AC292)*Valores!$C$58</f>
        <v>78893.793000000005</v>
      </c>
      <c r="AE292" s="113">
        <f t="shared" si="49"/>
        <v>867831.723</v>
      </c>
      <c r="AF292" s="113">
        <f>IF(Valores!$C$13*B292&gt;Valores!$F$13,Valores!$F$13,Valores!$C$13*B292)</f>
        <v>72856</v>
      </c>
      <c r="AG292" s="113">
        <f>IF((Valores!$C$59/20*B292)&gt;Valores!$C$59,Valores!$C$59,Valores!$C$59/20*B292)</f>
        <v>25000</v>
      </c>
      <c r="AH292" s="113">
        <f t="shared" si="45"/>
        <v>97856</v>
      </c>
      <c r="AI292" s="113">
        <f>AE292*Valores!$C$39</f>
        <v>-95461.489530000006</v>
      </c>
      <c r="AJ292" s="113">
        <f>IF(AE292&lt;Valores!$E$40,-0.02,IF(AE292&lt;Valores!$F$40,-0.03,-0.04))*AE292</f>
        <v>-26034.951689999998</v>
      </c>
      <c r="AK292" s="113">
        <f>AE292*Valores!$C$42</f>
        <v>-47730.744765000003</v>
      </c>
      <c r="AL292" s="113">
        <f>Valores!$C$56</f>
        <v>-1270.1600000000001</v>
      </c>
      <c r="AM292" s="113">
        <f>IF($F$5=0,Valores!$C$57,(Valores!$C$57+$F$5*(Valores!$C$57)))</f>
        <v>-7026</v>
      </c>
      <c r="AN292" s="113">
        <f t="shared" si="50"/>
        <v>788164.37701499998</v>
      </c>
      <c r="AO292" s="113">
        <f t="shared" si="44"/>
        <v>-95461.489530000006</v>
      </c>
      <c r="AP292" s="113">
        <f t="shared" si="51"/>
        <v>-26034.951689999998</v>
      </c>
      <c r="AQ292" s="113">
        <f>AE292*Valores!$C$43</f>
        <v>-23431.456521</v>
      </c>
      <c r="AR292" s="113">
        <f>AE292*Valores!$C$44</f>
        <v>-2603.4951690000003</v>
      </c>
      <c r="AS292" s="113">
        <f t="shared" si="46"/>
        <v>818156.33009000006</v>
      </c>
      <c r="AT292" s="113">
        <f>AE292*Valores!$C$46</f>
        <v>138853.07568000001</v>
      </c>
      <c r="AU292" s="113">
        <f>AE292*Valores!$C$47</f>
        <v>60748.220610000004</v>
      </c>
      <c r="AV292" s="113">
        <f>AE292*Valores!$C$48</f>
        <v>8678.3172300000006</v>
      </c>
      <c r="AW292" s="113">
        <f>AE292*Valores!$C$50</f>
        <v>30374.110305000002</v>
      </c>
      <c r="AX292" s="113">
        <f>AE292*Valores!$C$52</f>
        <v>46862.913042</v>
      </c>
      <c r="AY292" s="113">
        <f>AE292*Valores!$C$51</f>
        <v>5206.9903380000005</v>
      </c>
      <c r="AZ292" s="111"/>
      <c r="BA292" s="114">
        <f t="shared" si="53"/>
        <v>33</v>
      </c>
      <c r="BB292" s="111" t="s">
        <v>8</v>
      </c>
    </row>
    <row r="293" spans="1:1018" s="100" customFormat="1" ht="11.25" customHeight="1" x14ac:dyDescent="0.15">
      <c r="A293" s="111" t="s">
        <v>433</v>
      </c>
      <c r="B293" s="111">
        <v>34</v>
      </c>
      <c r="C293" s="114">
        <v>286</v>
      </c>
      <c r="D293" s="112" t="str">
        <f>CONCATENATE("Hora Cátedra Enseñanza Media ",B293," hs")</f>
        <v>Hora Cátedra Enseñanza Media 34 hs</v>
      </c>
      <c r="E293" s="169">
        <v>2686</v>
      </c>
      <c r="F293" s="113">
        <f>ROUND(E293*Valores!$C$2,2)</f>
        <v>262706.92</v>
      </c>
      <c r="G293" s="169">
        <v>0</v>
      </c>
      <c r="H293" s="113">
        <f>ROUND(G293*Valores!$C$2,2)</f>
        <v>0</v>
      </c>
      <c r="I293" s="169">
        <v>0</v>
      </c>
      <c r="J293" s="113">
        <f>ROUND(I293*Valores!$C$2,2)</f>
        <v>0</v>
      </c>
      <c r="K293" s="169">
        <v>0</v>
      </c>
      <c r="L293" s="113">
        <f>ROUND(K293*Valores!$C$2,2)</f>
        <v>0</v>
      </c>
      <c r="M293" s="113">
        <f>ROUND(IF($H$2=0,IF(AND(A293&lt;&gt;"13-930",A293&lt;&gt;"13-940"),(SUM(F293,H293,J293,L293,W293,S293,Q293)*Valores!$C$4),0),0),2)</f>
        <v>89393.26</v>
      </c>
      <c r="N293" s="113">
        <f t="shared" si="47"/>
        <v>0</v>
      </c>
      <c r="O293" s="113">
        <f>Valores!C$65*B293</f>
        <v>226146.58</v>
      </c>
      <c r="P293" s="113">
        <f>ROUND(IF((Valores!$E$5*B293)&lt;=Valores!$F$5,Valores!$E$5*B293,Valores!$F$5),2)</f>
        <v>74997.64</v>
      </c>
      <c r="Q293" s="113">
        <f>IF($F$4="NO",Valores!$C$28*B293,Valores!$C$28*B293/2)</f>
        <v>59399.360000000001</v>
      </c>
      <c r="R293" s="113">
        <f>Valores!$C$7*B293</f>
        <v>35466.76</v>
      </c>
      <c r="S293" s="113">
        <f t="shared" si="52"/>
        <v>35466.76</v>
      </c>
      <c r="T293" s="113">
        <v>0</v>
      </c>
      <c r="U293" s="113">
        <v>0</v>
      </c>
      <c r="V293" s="169">
        <v>0</v>
      </c>
      <c r="W293" s="113">
        <f>ROUND(V293*Valores!$C$2,2)</f>
        <v>0</v>
      </c>
      <c r="X293" s="113">
        <v>0</v>
      </c>
      <c r="Y293" s="188">
        <v>0</v>
      </c>
      <c r="Z293" s="113">
        <f t="shared" si="48"/>
        <v>0</v>
      </c>
      <c r="AA293" s="169">
        <v>0</v>
      </c>
      <c r="AB293" s="113">
        <f>ROUND(AA293*Valores!$C$2,2)</f>
        <v>0</v>
      </c>
      <c r="AC293" s="113">
        <f>ROUND(IF($F$4="NO",Valores!$C$33*B293,Valores!$C$33*B293/2),2)</f>
        <v>52989.61</v>
      </c>
      <c r="AD293" s="113">
        <f>SUM(F293,H293,J293,L293,M293,N293,O293,P293,Q293,S293,T293,U293,W293,X293,Z293,AB293,AC293)*Valores!$C$58</f>
        <v>80110.013000000006</v>
      </c>
      <c r="AE293" s="113">
        <f t="shared" si="49"/>
        <v>881210.14300000004</v>
      </c>
      <c r="AF293" s="113">
        <f>IF(Valores!$C$13*B293&gt;Valores!$F$13,Valores!$F$13,Valores!$C$13*B293)</f>
        <v>72856</v>
      </c>
      <c r="AG293" s="113">
        <f>IF((Valores!$C$59/20*B293)&gt;Valores!$C$59,Valores!$C$59,Valores!$C$59/20*B293)</f>
        <v>25000</v>
      </c>
      <c r="AH293" s="113">
        <f t="shared" si="45"/>
        <v>97856</v>
      </c>
      <c r="AI293" s="113">
        <f>AE293*Valores!$C$39</f>
        <v>-96933.115730000005</v>
      </c>
      <c r="AJ293" s="113">
        <f>IF(AE293&lt;Valores!$E$40,-0.02,IF(AE293&lt;Valores!$F$40,-0.03,-0.04))*AE293</f>
        <v>-26436.30429</v>
      </c>
      <c r="AK293" s="113">
        <f>AE293*Valores!$C$42</f>
        <v>-48466.557865000002</v>
      </c>
      <c r="AL293" s="113">
        <f>Valores!$C$56</f>
        <v>-1270.1600000000001</v>
      </c>
      <c r="AM293" s="113">
        <f>IF($F$5=0,Valores!$C$57,(Valores!$C$57+$F$5*(Valores!$C$57)))</f>
        <v>-7026</v>
      </c>
      <c r="AN293" s="113">
        <f t="shared" si="50"/>
        <v>798934.00511500007</v>
      </c>
      <c r="AO293" s="113">
        <f t="shared" si="44"/>
        <v>-96933.115730000005</v>
      </c>
      <c r="AP293" s="113">
        <f t="shared" si="51"/>
        <v>-26436.30429</v>
      </c>
      <c r="AQ293" s="113">
        <f>AE293*Valores!$C$43</f>
        <v>-23792.673860999999</v>
      </c>
      <c r="AR293" s="113">
        <f>AE293*Valores!$C$44</f>
        <v>-2643.6304290000003</v>
      </c>
      <c r="AS293" s="113">
        <f t="shared" si="46"/>
        <v>829260.41868999996</v>
      </c>
      <c r="AT293" s="113">
        <f>AE293*Valores!$C$46</f>
        <v>140993.62288000001</v>
      </c>
      <c r="AU293" s="113">
        <f>AE293*Valores!$C$47</f>
        <v>61684.71001000001</v>
      </c>
      <c r="AV293" s="113">
        <f>AE293*Valores!$C$48</f>
        <v>8812.1014300000006</v>
      </c>
      <c r="AW293" s="113">
        <f>AE293*Valores!$C$50</f>
        <v>30842.355005000005</v>
      </c>
      <c r="AX293" s="113">
        <f>AE293*Valores!$C$52</f>
        <v>47585.347721999999</v>
      </c>
      <c r="AY293" s="113">
        <f>AE293*Valores!$C$51</f>
        <v>5287.2608580000006</v>
      </c>
      <c r="AZ293" s="114"/>
      <c r="BA293" s="114">
        <f t="shared" si="53"/>
        <v>34</v>
      </c>
      <c r="BB293" s="111" t="s">
        <v>8</v>
      </c>
    </row>
    <row r="294" spans="1:1018" s="100" customFormat="1" ht="11.25" customHeight="1" x14ac:dyDescent="0.15">
      <c r="A294" s="111" t="s">
        <v>433</v>
      </c>
      <c r="B294" s="111">
        <v>34</v>
      </c>
      <c r="C294" s="114">
        <v>287</v>
      </c>
      <c r="D294" s="112" t="str">
        <f>CONCATENATE("Hora Cátedra Enseñanza Media ",B294," hs Esc Esp")</f>
        <v>Hora Cátedra Enseñanza Media 34 hs Esc Esp</v>
      </c>
      <c r="E294" s="169">
        <v>2686</v>
      </c>
      <c r="F294" s="113">
        <f>ROUND(E294*Valores!$C$2,2)</f>
        <v>262706.92</v>
      </c>
      <c r="G294" s="169">
        <v>0</v>
      </c>
      <c r="H294" s="113">
        <f>ROUND(G294*Valores!$C$2,2)</f>
        <v>0</v>
      </c>
      <c r="I294" s="169">
        <v>0</v>
      </c>
      <c r="J294" s="113">
        <f>ROUND(I294*Valores!$C$2,2)</f>
        <v>0</v>
      </c>
      <c r="K294" s="169">
        <v>0</v>
      </c>
      <c r="L294" s="113">
        <f>ROUND(K294*Valores!$C$2,2)</f>
        <v>0</v>
      </c>
      <c r="M294" s="113">
        <f>ROUND(IF($H$2=0,IF(AND(A294&lt;&gt;"13-930",A294&lt;&gt;"13-940"),(SUM(F294,H294,J294,L294,W294,S294,Q294)*Valores!$C$4),0),0),2)</f>
        <v>89393.26</v>
      </c>
      <c r="N294" s="113">
        <f t="shared" si="47"/>
        <v>0</v>
      </c>
      <c r="O294" s="113">
        <f>Valores!C$65*B294</f>
        <v>226146.58</v>
      </c>
      <c r="P294" s="113">
        <f>ROUND(IF((Valores!$E$5*B294)&lt;=Valores!$F$5,Valores!$E$5*B294,Valores!$F$5),2)</f>
        <v>74997.64</v>
      </c>
      <c r="Q294" s="113">
        <f>IF($F$4="NO",Valores!$C$28*B294,Valores!$C$28*B294/2)</f>
        <v>59399.360000000001</v>
      </c>
      <c r="R294" s="113">
        <f>Valores!$C$7*B294</f>
        <v>35466.76</v>
      </c>
      <c r="S294" s="113">
        <f t="shared" si="52"/>
        <v>35466.76</v>
      </c>
      <c r="T294" s="113">
        <v>0</v>
      </c>
      <c r="U294" s="113">
        <v>0</v>
      </c>
      <c r="V294" s="169">
        <v>0</v>
      </c>
      <c r="W294" s="113">
        <f>ROUND(V294*Valores!$C$2,2)</f>
        <v>0</v>
      </c>
      <c r="X294" s="113">
        <v>0</v>
      </c>
      <c r="Y294" s="188">
        <v>0</v>
      </c>
      <c r="Z294" s="113">
        <f t="shared" si="48"/>
        <v>0</v>
      </c>
      <c r="AA294" s="169">
        <v>94</v>
      </c>
      <c r="AB294" s="113">
        <f>ROUND(AA294*Valores!$C$2,2)</f>
        <v>9193.76</v>
      </c>
      <c r="AC294" s="113">
        <f>ROUND(IF($F$4="NO",Valores!$C$33*B294,Valores!$C$33*B294/2),2)</f>
        <v>52989.61</v>
      </c>
      <c r="AD294" s="113">
        <f>SUM(F294,H294,J294,L294,M294,N294,O294,P294,Q294,S294,T294,U294,W294,X294,Z294,AB294,AC294)*Valores!$C$58</f>
        <v>81029.38900000001</v>
      </c>
      <c r="AE294" s="113">
        <f t="shared" si="49"/>
        <v>891323.27899999998</v>
      </c>
      <c r="AF294" s="113">
        <f>IF(Valores!$C$13*B294&gt;Valores!$F$13,Valores!$F$13,Valores!$C$13*B294)</f>
        <v>72856</v>
      </c>
      <c r="AG294" s="113">
        <f>IF((Valores!$C$59/20*B294)&gt;Valores!$C$59,Valores!$C$59,Valores!$C$59/20*B294)</f>
        <v>25000</v>
      </c>
      <c r="AH294" s="113">
        <f t="shared" si="45"/>
        <v>97856</v>
      </c>
      <c r="AI294" s="113">
        <f>AE294*Valores!$C$39</f>
        <v>-98045.560689999998</v>
      </c>
      <c r="AJ294" s="113">
        <f>IF(AE294&lt;Valores!$E$40,-0.02,IF(AE294&lt;Valores!$F$40,-0.03,-0.04))*AE294</f>
        <v>-26739.698369999998</v>
      </c>
      <c r="AK294" s="113">
        <f>AE294*Valores!$C$42</f>
        <v>-49022.780344999999</v>
      </c>
      <c r="AL294" s="113">
        <f>Valores!$C$56</f>
        <v>-1270.1600000000001</v>
      </c>
      <c r="AM294" s="113">
        <f>IF($F$5=0,Valores!$C$57,(Valores!$C$57+$F$5*(Valores!$C$57)))</f>
        <v>-7026</v>
      </c>
      <c r="AN294" s="113">
        <f t="shared" si="50"/>
        <v>807075.07959500002</v>
      </c>
      <c r="AO294" s="113">
        <f t="shared" si="44"/>
        <v>-98045.560689999998</v>
      </c>
      <c r="AP294" s="113">
        <f t="shared" si="51"/>
        <v>-26739.698369999998</v>
      </c>
      <c r="AQ294" s="113">
        <f>AE294*Valores!$C$43</f>
        <v>-24065.728532999998</v>
      </c>
      <c r="AR294" s="113">
        <f>AE294*Valores!$C$44</f>
        <v>-2673.9698370000001</v>
      </c>
      <c r="AS294" s="113">
        <f t="shared" si="46"/>
        <v>837654.32156999991</v>
      </c>
      <c r="AT294" s="113">
        <f>AE294*Valores!$C$46</f>
        <v>142611.72464</v>
      </c>
      <c r="AU294" s="113">
        <f>AE294*Valores!$C$47</f>
        <v>62392.629530000006</v>
      </c>
      <c r="AV294" s="113">
        <f>AE294*Valores!$C$48</f>
        <v>8913.23279</v>
      </c>
      <c r="AW294" s="113">
        <f>AE294*Valores!$C$50</f>
        <v>31196.314765000003</v>
      </c>
      <c r="AX294" s="113">
        <f>AE294*Valores!$C$52</f>
        <v>48131.457065999995</v>
      </c>
      <c r="AY294" s="113">
        <f>AE294*Valores!$C$51</f>
        <v>5347.9396740000002</v>
      </c>
      <c r="AZ294" s="114"/>
      <c r="BA294" s="114">
        <f t="shared" si="53"/>
        <v>34</v>
      </c>
      <c r="BB294" s="111" t="s">
        <v>8</v>
      </c>
    </row>
    <row r="295" spans="1:1018" s="100" customFormat="1" ht="11.25" customHeight="1" x14ac:dyDescent="0.15">
      <c r="A295" s="111" t="s">
        <v>433</v>
      </c>
      <c r="B295" s="111">
        <v>35</v>
      </c>
      <c r="C295" s="114">
        <v>288</v>
      </c>
      <c r="D295" s="112" t="str">
        <f>CONCATENATE("Hora Cátedra Enseñanza Media ",B295," hs")</f>
        <v>Hora Cátedra Enseñanza Media 35 hs</v>
      </c>
      <c r="E295" s="169">
        <v>2765</v>
      </c>
      <c r="F295" s="113">
        <f>ROUND(E295*Valores!$C$2,2)</f>
        <v>270433.59000000003</v>
      </c>
      <c r="G295" s="169">
        <v>0</v>
      </c>
      <c r="H295" s="113">
        <f>ROUND(G295*Valores!$C$2,2)</f>
        <v>0</v>
      </c>
      <c r="I295" s="169">
        <v>0</v>
      </c>
      <c r="J295" s="113">
        <f>ROUND(I295*Valores!$C$2,2)</f>
        <v>0</v>
      </c>
      <c r="K295" s="169">
        <v>0</v>
      </c>
      <c r="L295" s="113">
        <f>ROUND(K295*Valores!$C$2,2)</f>
        <v>0</v>
      </c>
      <c r="M295" s="113">
        <f>ROUND(IF($H$2=0,IF(AND(A295&lt;&gt;"13-930",A295&lt;&gt;"13-940"),(SUM(F295,H295,J295,L295,W295,S295,Q295)*Valores!$C$4),0),0),2)</f>
        <v>92022.47</v>
      </c>
      <c r="N295" s="113">
        <f t="shared" si="47"/>
        <v>0</v>
      </c>
      <c r="O295" s="113">
        <f>Valores!C$65*B295</f>
        <v>232797.94999999998</v>
      </c>
      <c r="P295" s="113">
        <f>ROUND(IF((Valores!$E$5*B295)&lt;=Valores!$F$5,Valores!$E$5*B295,Valores!$F$5),2)</f>
        <v>74997.64</v>
      </c>
      <c r="Q295" s="113">
        <f>IF($F$4="NO",Valores!$C$28*B295,Valores!$C$28*B295/2)</f>
        <v>61146.400000000001</v>
      </c>
      <c r="R295" s="113">
        <f>Valores!$C$7*B295</f>
        <v>36509.9</v>
      </c>
      <c r="S295" s="113">
        <f t="shared" si="52"/>
        <v>36509.9</v>
      </c>
      <c r="T295" s="113">
        <v>0</v>
      </c>
      <c r="U295" s="113">
        <v>0</v>
      </c>
      <c r="V295" s="169">
        <v>0</v>
      </c>
      <c r="W295" s="113">
        <f>ROUND(V295*Valores!$C$2,2)</f>
        <v>0</v>
      </c>
      <c r="X295" s="113">
        <v>0</v>
      </c>
      <c r="Y295" s="188">
        <v>0</v>
      </c>
      <c r="Z295" s="113">
        <f t="shared" si="48"/>
        <v>0</v>
      </c>
      <c r="AA295" s="169">
        <v>0</v>
      </c>
      <c r="AB295" s="113">
        <f>ROUND(AA295*Valores!$C$2,2)</f>
        <v>0</v>
      </c>
      <c r="AC295" s="113">
        <f>ROUND(IF($F$4="NO",Valores!$C$33*B295,Valores!$C$33*B295/2),2)</f>
        <v>54548.13</v>
      </c>
      <c r="AD295" s="113">
        <f>SUM(F295,H295,J295,L295,M295,N295,O295,P295,Q295,S295,T295,U295,W295,X295,Z295,AB295,AC295)*Valores!$C$58</f>
        <v>82245.608000000007</v>
      </c>
      <c r="AE295" s="113">
        <f t="shared" si="49"/>
        <v>904701.68800000008</v>
      </c>
      <c r="AF295" s="113">
        <f>IF(Valores!$C$13*B295&gt;Valores!$F$13,Valores!$F$13,Valores!$C$13*B295)</f>
        <v>72856</v>
      </c>
      <c r="AG295" s="113">
        <f>IF((Valores!$C$59/20*B295)&gt;Valores!$C$59,Valores!$C$59,Valores!$C$59/20*B295)</f>
        <v>25000</v>
      </c>
      <c r="AH295" s="113">
        <f t="shared" si="45"/>
        <v>97856</v>
      </c>
      <c r="AI295" s="113">
        <f>AE295*Valores!$C$39</f>
        <v>-99517.18568000001</v>
      </c>
      <c r="AJ295" s="113">
        <f>IF(AE295&lt;Valores!$E$40,-0.02,IF(AE295&lt;Valores!$F$40,-0.03,-0.04))*AE295</f>
        <v>-27141.050640000001</v>
      </c>
      <c r="AK295" s="113">
        <f>AE295*Valores!$C$42</f>
        <v>-49758.592840000005</v>
      </c>
      <c r="AL295" s="113">
        <f>Valores!$C$56</f>
        <v>-1270.1600000000001</v>
      </c>
      <c r="AM295" s="113">
        <f>IF($F$5=0,Valores!$C$57,(Valores!$C$57+$F$5*(Valores!$C$57)))</f>
        <v>-7026</v>
      </c>
      <c r="AN295" s="113">
        <f t="shared" si="50"/>
        <v>817844.69884000008</v>
      </c>
      <c r="AO295" s="113">
        <f t="shared" si="44"/>
        <v>-99517.18568000001</v>
      </c>
      <c r="AP295" s="113">
        <f t="shared" si="51"/>
        <v>-27141.050640000001</v>
      </c>
      <c r="AQ295" s="113">
        <f>AE295*Valores!$C$43</f>
        <v>-24426.945576000002</v>
      </c>
      <c r="AR295" s="113">
        <f>AE295*Valores!$C$44</f>
        <v>-2714.1050640000003</v>
      </c>
      <c r="AS295" s="113">
        <f t="shared" si="46"/>
        <v>848758.40104000003</v>
      </c>
      <c r="AT295" s="113">
        <f>AE295*Valores!$C$46</f>
        <v>144752.27008000002</v>
      </c>
      <c r="AU295" s="113">
        <f>AE295*Valores!$C$47</f>
        <v>63329.118160000013</v>
      </c>
      <c r="AV295" s="113">
        <f>AE295*Valores!$C$48</f>
        <v>9047.016880000001</v>
      </c>
      <c r="AW295" s="113">
        <f>AE295*Valores!$C$50</f>
        <v>31664.559080000006</v>
      </c>
      <c r="AX295" s="113">
        <f>AE295*Valores!$C$52</f>
        <v>48853.891152000004</v>
      </c>
      <c r="AY295" s="113">
        <f>AE295*Valores!$C$51</f>
        <v>5428.2101280000006</v>
      </c>
      <c r="AZ295" s="114"/>
      <c r="BA295" s="114">
        <f t="shared" si="53"/>
        <v>35</v>
      </c>
      <c r="BB295" s="111" t="s">
        <v>8</v>
      </c>
    </row>
    <row r="296" spans="1:1018" s="100" customFormat="1" ht="11.25" customHeight="1" x14ac:dyDescent="0.15">
      <c r="A296" s="111" t="s">
        <v>433</v>
      </c>
      <c r="B296" s="111">
        <v>35</v>
      </c>
      <c r="C296" s="114">
        <v>289</v>
      </c>
      <c r="D296" s="112" t="str">
        <f>CONCATENATE("Hora Cátedra Enseñanza Media ",B296," hs Esc Esp")</f>
        <v>Hora Cátedra Enseñanza Media 35 hs Esc Esp</v>
      </c>
      <c r="E296" s="169">
        <v>2765</v>
      </c>
      <c r="F296" s="113">
        <f>ROUND(E296*Valores!$C$2,2)</f>
        <v>270433.59000000003</v>
      </c>
      <c r="G296" s="169">
        <v>0</v>
      </c>
      <c r="H296" s="113">
        <f>ROUND(G296*Valores!$C$2,2)</f>
        <v>0</v>
      </c>
      <c r="I296" s="169">
        <v>0</v>
      </c>
      <c r="J296" s="113">
        <f>ROUND(I296*Valores!$C$2,2)</f>
        <v>0</v>
      </c>
      <c r="K296" s="169">
        <v>0</v>
      </c>
      <c r="L296" s="113">
        <f>ROUND(K296*Valores!$C$2,2)</f>
        <v>0</v>
      </c>
      <c r="M296" s="113">
        <f>ROUND(IF($H$2=0,IF(AND(A296&lt;&gt;"13-930",A296&lt;&gt;"13-940"),(SUM(F296,H296,J296,L296,W296,S296,Q296)*Valores!$C$4),0),0),2)</f>
        <v>92022.47</v>
      </c>
      <c r="N296" s="113">
        <f t="shared" si="47"/>
        <v>0</v>
      </c>
      <c r="O296" s="113">
        <f>Valores!C$65*B296</f>
        <v>232797.94999999998</v>
      </c>
      <c r="P296" s="113">
        <f>ROUND(IF((Valores!$E$5*B296)&lt;=Valores!$F$5,Valores!$E$5*B296,Valores!$F$5),2)</f>
        <v>74997.64</v>
      </c>
      <c r="Q296" s="113">
        <f>IF($F$4="NO",Valores!$C$28*B296,Valores!$C$28*B296/2)</f>
        <v>61146.400000000001</v>
      </c>
      <c r="R296" s="113">
        <f>Valores!$C$7*B296</f>
        <v>36509.9</v>
      </c>
      <c r="S296" s="113">
        <f t="shared" si="52"/>
        <v>36509.9</v>
      </c>
      <c r="T296" s="113">
        <v>0</v>
      </c>
      <c r="U296" s="113">
        <v>0</v>
      </c>
      <c r="V296" s="169">
        <v>0</v>
      </c>
      <c r="W296" s="113">
        <f>ROUND(V296*Valores!$C$2,2)</f>
        <v>0</v>
      </c>
      <c r="X296" s="113">
        <v>0</v>
      </c>
      <c r="Y296" s="188">
        <v>0</v>
      </c>
      <c r="Z296" s="113">
        <f t="shared" si="48"/>
        <v>0</v>
      </c>
      <c r="AA296" s="169">
        <v>94</v>
      </c>
      <c r="AB296" s="113">
        <f>ROUND(AA296*Valores!$C$2,2)</f>
        <v>9193.76</v>
      </c>
      <c r="AC296" s="113">
        <f>ROUND(IF($F$4="NO",Valores!$C$33*B296,Valores!$C$33*B296/2),2)</f>
        <v>54548.13</v>
      </c>
      <c r="AD296" s="113">
        <f>SUM(F296,H296,J296,L296,M296,N296,O296,P296,Q296,S296,T296,U296,W296,X296,Z296,AB296,AC296)*Valores!$C$58</f>
        <v>83164.984000000011</v>
      </c>
      <c r="AE296" s="113">
        <f t="shared" si="49"/>
        <v>914814.82400000014</v>
      </c>
      <c r="AF296" s="113">
        <f>IF(Valores!$C$13*B296&gt;Valores!$F$13,Valores!$F$13,Valores!$C$13*B296)</f>
        <v>72856</v>
      </c>
      <c r="AG296" s="113">
        <f>IF((Valores!$C$59/20*B296)&gt;Valores!$C$59,Valores!$C$59,Valores!$C$59/20*B296)</f>
        <v>25000</v>
      </c>
      <c r="AH296" s="113">
        <f t="shared" si="45"/>
        <v>97856</v>
      </c>
      <c r="AI296" s="113">
        <f>AE296*Valores!$C$39</f>
        <v>-100629.63064000002</v>
      </c>
      <c r="AJ296" s="113">
        <f>IF(AE296&lt;Valores!$E$40,-0.02,IF(AE296&lt;Valores!$F$40,-0.03,-0.04))*AE296</f>
        <v>-27444.444720000003</v>
      </c>
      <c r="AK296" s="113">
        <f>AE296*Valores!$C$42</f>
        <v>-50314.815320000009</v>
      </c>
      <c r="AL296" s="113">
        <f>Valores!$C$56</f>
        <v>-1270.1600000000001</v>
      </c>
      <c r="AM296" s="113">
        <f>IF($F$5=0,Valores!$C$57,(Valores!$C$57+$F$5*(Valores!$C$57)))</f>
        <v>-7026</v>
      </c>
      <c r="AN296" s="113">
        <f t="shared" si="50"/>
        <v>825985.77332000015</v>
      </c>
      <c r="AO296" s="113">
        <f t="shared" si="44"/>
        <v>-100629.63064000002</v>
      </c>
      <c r="AP296" s="113">
        <f t="shared" si="51"/>
        <v>-27444.444720000003</v>
      </c>
      <c r="AQ296" s="113">
        <f>AE296*Valores!$C$43</f>
        <v>-24700.000248000004</v>
      </c>
      <c r="AR296" s="113">
        <f>AE296*Valores!$C$44</f>
        <v>-2744.4444720000006</v>
      </c>
      <c r="AS296" s="113">
        <f t="shared" si="46"/>
        <v>857152.30392000009</v>
      </c>
      <c r="AT296" s="113">
        <f>AE296*Valores!$C$46</f>
        <v>146370.37184000004</v>
      </c>
      <c r="AU296" s="113">
        <f>AE296*Valores!$C$47</f>
        <v>64037.037680000016</v>
      </c>
      <c r="AV296" s="113">
        <f>AE296*Valores!$C$48</f>
        <v>9148.1482400000023</v>
      </c>
      <c r="AW296" s="113">
        <f>AE296*Valores!$C$50</f>
        <v>32018.518840000008</v>
      </c>
      <c r="AX296" s="113">
        <f>AE296*Valores!$C$52</f>
        <v>49400.000496000008</v>
      </c>
      <c r="AY296" s="113">
        <f>AE296*Valores!$C$51</f>
        <v>5488.8889440000012</v>
      </c>
      <c r="AZ296" s="114"/>
      <c r="BA296" s="114">
        <f t="shared" si="53"/>
        <v>35</v>
      </c>
      <c r="BB296" s="111" t="s">
        <v>8</v>
      </c>
    </row>
    <row r="297" spans="1:1018" s="100" customFormat="1" ht="11.25" customHeight="1" x14ac:dyDescent="0.15">
      <c r="A297" s="111" t="s">
        <v>433</v>
      </c>
      <c r="B297" s="111">
        <v>36</v>
      </c>
      <c r="C297" s="114">
        <v>290</v>
      </c>
      <c r="D297" s="112" t="str">
        <f>CONCATENATE("Hora Cátedra Enseñanza Media ",B297," hs")</f>
        <v>Hora Cátedra Enseñanza Media 36 hs</v>
      </c>
      <c r="E297" s="169">
        <v>2844</v>
      </c>
      <c r="F297" s="113">
        <f>ROUND(E297*Valores!$C$2,2)</f>
        <v>278160.26</v>
      </c>
      <c r="G297" s="169">
        <v>0</v>
      </c>
      <c r="H297" s="113">
        <f>ROUND(G297*Valores!$C$2,2)</f>
        <v>0</v>
      </c>
      <c r="I297" s="169">
        <v>0</v>
      </c>
      <c r="J297" s="113">
        <f>ROUND(I297*Valores!$C$2,2)</f>
        <v>0</v>
      </c>
      <c r="K297" s="169">
        <v>0</v>
      </c>
      <c r="L297" s="113">
        <f>ROUND(K297*Valores!$C$2,2)</f>
        <v>0</v>
      </c>
      <c r="M297" s="113">
        <f>ROUND(IF($H$2=0,IF(AND(A297&lt;&gt;"13-930",A297&lt;&gt;"13-940"),(SUM(F297,H297,J297,L297,W297,S297,Q297)*Valores!$C$4),0),0),2)</f>
        <v>94651.69</v>
      </c>
      <c r="N297" s="113">
        <f t="shared" si="47"/>
        <v>0</v>
      </c>
      <c r="O297" s="113">
        <f>Valores!C$65*B297</f>
        <v>239449.32</v>
      </c>
      <c r="P297" s="113">
        <f>ROUND(IF((Valores!$E$5*B297)&lt;=Valores!$F$5,Valores!$E$5*B297,Valores!$F$5),2)</f>
        <v>74997.64</v>
      </c>
      <c r="Q297" s="113">
        <f>IF($F$4="NO",Valores!$C$28*B297,Valores!$C$28*B297/2)</f>
        <v>62893.440000000002</v>
      </c>
      <c r="R297" s="113">
        <f>Valores!$C$7*B297</f>
        <v>37553.040000000001</v>
      </c>
      <c r="S297" s="113">
        <f t="shared" si="52"/>
        <v>37553.040000000001</v>
      </c>
      <c r="T297" s="113">
        <v>0</v>
      </c>
      <c r="U297" s="113">
        <v>0</v>
      </c>
      <c r="V297" s="169">
        <v>0</v>
      </c>
      <c r="W297" s="113">
        <f>ROUND(V297*Valores!$C$2,2)</f>
        <v>0</v>
      </c>
      <c r="X297" s="113">
        <v>0</v>
      </c>
      <c r="Y297" s="188">
        <v>0</v>
      </c>
      <c r="Z297" s="113">
        <f t="shared" si="48"/>
        <v>0</v>
      </c>
      <c r="AA297" s="169">
        <v>0</v>
      </c>
      <c r="AB297" s="113">
        <f>ROUND(AA297*Valores!$C$2,2)</f>
        <v>0</v>
      </c>
      <c r="AC297" s="113">
        <f>ROUND(IF($F$4="NO",Valores!$C$33*B297,Valores!$C$33*B297/2),2)</f>
        <v>56106.65</v>
      </c>
      <c r="AD297" s="113">
        <f>SUM(F297,H297,J297,L297,M297,N297,O297,P297,Q297,S297,T297,U297,W297,X297,Z297,AB297,AC297)*Valores!$C$58</f>
        <v>84381.204000000027</v>
      </c>
      <c r="AE297" s="113">
        <f t="shared" si="49"/>
        <v>928193.24400000018</v>
      </c>
      <c r="AF297" s="113">
        <f>IF(Valores!$C$13*B297&gt;Valores!$F$13,Valores!$F$13,Valores!$C$13*B297)</f>
        <v>72856</v>
      </c>
      <c r="AG297" s="113">
        <f>IF((Valores!$C$59/20*B297)&gt;Valores!$C$59,Valores!$C$59,Valores!$C$59/20*B297)</f>
        <v>25000</v>
      </c>
      <c r="AH297" s="113">
        <f t="shared" si="45"/>
        <v>97856</v>
      </c>
      <c r="AI297" s="113">
        <f>AE297*Valores!$C$39</f>
        <v>-102101.25684000002</v>
      </c>
      <c r="AJ297" s="113">
        <f>IF(AE297&lt;Valores!$E$40,-0.02,IF(AE297&lt;Valores!$F$40,-0.03,-0.04))*AE297</f>
        <v>-27845.797320000005</v>
      </c>
      <c r="AK297" s="113">
        <f>AE297*Valores!$C$42</f>
        <v>-51050.628420000008</v>
      </c>
      <c r="AL297" s="113">
        <f>Valores!$C$56</f>
        <v>-1270.1600000000001</v>
      </c>
      <c r="AM297" s="113">
        <f>IF($F$5=0,Valores!$C$57,(Valores!$C$57+$F$5*(Valores!$C$57)))</f>
        <v>-7026</v>
      </c>
      <c r="AN297" s="113">
        <f t="shared" si="50"/>
        <v>836755.40142000013</v>
      </c>
      <c r="AO297" s="113">
        <f t="shared" si="44"/>
        <v>-102101.25684000002</v>
      </c>
      <c r="AP297" s="113">
        <f t="shared" si="51"/>
        <v>-27845.797320000005</v>
      </c>
      <c r="AQ297" s="113">
        <f>AE297*Valores!$C$43</f>
        <v>-25061.217588000003</v>
      </c>
      <c r="AR297" s="113">
        <f>AE297*Valores!$C$44</f>
        <v>-2784.5797320000006</v>
      </c>
      <c r="AS297" s="113">
        <f t="shared" si="46"/>
        <v>868256.39252000011</v>
      </c>
      <c r="AT297" s="113">
        <f>AE297*Valores!$C$46</f>
        <v>148510.91904000004</v>
      </c>
      <c r="AU297" s="113">
        <f>AE297*Valores!$C$47</f>
        <v>64973.527080000022</v>
      </c>
      <c r="AV297" s="113">
        <f>AE297*Valores!$C$48</f>
        <v>9281.9324400000023</v>
      </c>
      <c r="AW297" s="113">
        <f>AE297*Valores!$C$50</f>
        <v>32486.763540000011</v>
      </c>
      <c r="AX297" s="113">
        <f>AE297*Valores!$C$52</f>
        <v>50122.435176000006</v>
      </c>
      <c r="AY297" s="113">
        <f>AE297*Valores!$C$51</f>
        <v>5569.1594640000012</v>
      </c>
      <c r="AZ297" s="114"/>
      <c r="BA297" s="114">
        <f t="shared" si="53"/>
        <v>36</v>
      </c>
      <c r="BB297" s="111" t="s">
        <v>8</v>
      </c>
    </row>
    <row r="298" spans="1:1018" s="100" customFormat="1" ht="11.25" customHeight="1" x14ac:dyDescent="0.15">
      <c r="A298" s="111" t="s">
        <v>433</v>
      </c>
      <c r="B298" s="111">
        <v>36</v>
      </c>
      <c r="C298" s="114">
        <v>291</v>
      </c>
      <c r="D298" s="112" t="str">
        <f>CONCATENATE("Hora Cátedra Enseñanza Media ",B298," hs Esc Esp")</f>
        <v>Hora Cátedra Enseñanza Media 36 hs Esc Esp</v>
      </c>
      <c r="E298" s="169">
        <v>2844</v>
      </c>
      <c r="F298" s="113">
        <f>ROUND(E298*Valores!$C$2,2)</f>
        <v>278160.26</v>
      </c>
      <c r="G298" s="169">
        <v>0</v>
      </c>
      <c r="H298" s="113">
        <f>ROUND(G298*Valores!$C$2,2)</f>
        <v>0</v>
      </c>
      <c r="I298" s="169">
        <v>0</v>
      </c>
      <c r="J298" s="113">
        <f>ROUND(I298*Valores!$C$2,2)</f>
        <v>0</v>
      </c>
      <c r="K298" s="169">
        <v>0</v>
      </c>
      <c r="L298" s="113">
        <f>ROUND(K298*Valores!$C$2,2)</f>
        <v>0</v>
      </c>
      <c r="M298" s="113">
        <f>ROUND(IF($H$2=0,IF(AND(A298&lt;&gt;"13-930",A298&lt;&gt;"13-940"),(SUM(F298,H298,J298,L298,W298,S298,Q298)*Valores!$C$4),0),0),2)</f>
        <v>94651.69</v>
      </c>
      <c r="N298" s="113">
        <f t="shared" si="47"/>
        <v>0</v>
      </c>
      <c r="O298" s="113">
        <f>Valores!C$65*B298</f>
        <v>239449.32</v>
      </c>
      <c r="P298" s="113">
        <f>ROUND(IF((Valores!$E$5*B298)&lt;=Valores!$F$5,Valores!$E$5*B298,Valores!$F$5),2)</f>
        <v>74997.64</v>
      </c>
      <c r="Q298" s="113">
        <f>IF($F$4="NO",Valores!$C$28*B298,Valores!$C$28*B298/2)</f>
        <v>62893.440000000002</v>
      </c>
      <c r="R298" s="113">
        <f>Valores!$C$7*B298</f>
        <v>37553.040000000001</v>
      </c>
      <c r="S298" s="113">
        <f t="shared" si="52"/>
        <v>37553.040000000001</v>
      </c>
      <c r="T298" s="113">
        <v>0</v>
      </c>
      <c r="U298" s="113">
        <v>0</v>
      </c>
      <c r="V298" s="169">
        <v>0</v>
      </c>
      <c r="W298" s="113">
        <f>ROUND(V298*Valores!$C$2,2)</f>
        <v>0</v>
      </c>
      <c r="X298" s="113">
        <v>0</v>
      </c>
      <c r="Y298" s="188">
        <v>0</v>
      </c>
      <c r="Z298" s="113">
        <f t="shared" si="48"/>
        <v>0</v>
      </c>
      <c r="AA298" s="169">
        <v>94</v>
      </c>
      <c r="AB298" s="113">
        <f>ROUND(AA298*Valores!$C$2,2)</f>
        <v>9193.76</v>
      </c>
      <c r="AC298" s="113">
        <f>ROUND(IF($F$4="NO",Valores!$C$33*B298,Valores!$C$33*B298/2),2)</f>
        <v>56106.65</v>
      </c>
      <c r="AD298" s="113">
        <f>SUM(F298,H298,J298,L298,M298,N298,O298,P298,Q298,S298,T298,U298,W298,X298,Z298,AB298,AC298)*Valores!$C$58</f>
        <v>85300.580000000016</v>
      </c>
      <c r="AE298" s="113">
        <f t="shared" si="49"/>
        <v>938306.38000000012</v>
      </c>
      <c r="AF298" s="113">
        <f>IF(Valores!$C$13*B298&gt;Valores!$F$13,Valores!$F$13,Valores!$C$13*B298)</f>
        <v>72856</v>
      </c>
      <c r="AG298" s="113">
        <f>IF((Valores!$C$59/20*B298)&gt;Valores!$C$59,Valores!$C$59,Valores!$C$59/20*B298)</f>
        <v>25000</v>
      </c>
      <c r="AH298" s="113">
        <f t="shared" si="45"/>
        <v>97856</v>
      </c>
      <c r="AI298" s="113">
        <f>AE298*Valores!$C$39</f>
        <v>-103213.70180000001</v>
      </c>
      <c r="AJ298" s="113">
        <f>IF(AE298&lt;Valores!$E$40,-0.02,IF(AE298&lt;Valores!$F$40,-0.03,-0.04))*AE298</f>
        <v>-28149.191400000003</v>
      </c>
      <c r="AK298" s="113">
        <f>AE298*Valores!$C$42</f>
        <v>-51606.850900000005</v>
      </c>
      <c r="AL298" s="113">
        <f>Valores!$C$56</f>
        <v>-1270.1600000000001</v>
      </c>
      <c r="AM298" s="113">
        <f>IF($F$5=0,Valores!$C$57,(Valores!$C$57+$F$5*(Valores!$C$57)))</f>
        <v>-7026</v>
      </c>
      <c r="AN298" s="113">
        <f t="shared" si="50"/>
        <v>844896.47590000008</v>
      </c>
      <c r="AO298" s="113">
        <f t="shared" si="44"/>
        <v>-103213.70180000001</v>
      </c>
      <c r="AP298" s="113">
        <f t="shared" si="51"/>
        <v>-28149.191400000003</v>
      </c>
      <c r="AQ298" s="113">
        <f>AE298*Valores!$C$43</f>
        <v>-25334.272260000002</v>
      </c>
      <c r="AR298" s="113">
        <f>AE298*Valores!$C$44</f>
        <v>-2814.9191400000004</v>
      </c>
      <c r="AS298" s="113">
        <f t="shared" si="46"/>
        <v>876650.29540000006</v>
      </c>
      <c r="AT298" s="113">
        <f>AE298*Valores!$C$46</f>
        <v>150129.02080000003</v>
      </c>
      <c r="AU298" s="113">
        <f>AE298*Valores!$C$47</f>
        <v>65681.44660000001</v>
      </c>
      <c r="AV298" s="113">
        <f>AE298*Valores!$C$48</f>
        <v>9383.0638000000017</v>
      </c>
      <c r="AW298" s="113">
        <f>AE298*Valores!$C$50</f>
        <v>32840.723300000005</v>
      </c>
      <c r="AX298" s="113">
        <f>AE298*Valores!$C$52</f>
        <v>50668.544520000003</v>
      </c>
      <c r="AY298" s="113">
        <f>AE298*Valores!$C$51</f>
        <v>5629.8382800000009</v>
      </c>
      <c r="AZ298" s="114"/>
      <c r="BA298" s="114">
        <f t="shared" si="53"/>
        <v>36</v>
      </c>
      <c r="BB298" s="111" t="s">
        <v>8</v>
      </c>
    </row>
    <row r="299" spans="1:1018" s="100" customFormat="1" ht="11.25" customHeight="1" x14ac:dyDescent="0.15">
      <c r="A299" s="111" t="s">
        <v>434</v>
      </c>
      <c r="B299" s="111">
        <v>1</v>
      </c>
      <c r="C299" s="114">
        <v>292</v>
      </c>
      <c r="D299" s="112" t="s">
        <v>435</v>
      </c>
      <c r="E299" s="169">
        <v>79</v>
      </c>
      <c r="F299" s="113">
        <f>ROUND(E299*Valores!$C$2,2)</f>
        <v>7726.67</v>
      </c>
      <c r="G299" s="169">
        <v>0</v>
      </c>
      <c r="H299" s="113">
        <f>ROUND(G299*Valores!$C$2,2)</f>
        <v>0</v>
      </c>
      <c r="I299" s="169">
        <v>0</v>
      </c>
      <c r="J299" s="113">
        <f>ROUND(I299*Valores!$C$2,2)</f>
        <v>0</v>
      </c>
      <c r="K299" s="169">
        <v>0</v>
      </c>
      <c r="L299" s="113">
        <f>ROUND(K299*Valores!$C$2,2)</f>
        <v>0</v>
      </c>
      <c r="M299" s="113">
        <f>ROUND(IF($H$2=0,IF(AND(A299&lt;&gt;"13-930",A299&lt;&gt;"13-940"),(SUM(F299,H299,J299,L299,W299,S299,Q299)*Valores!$C$4),0),0),2)</f>
        <v>2629.21</v>
      </c>
      <c r="N299" s="113">
        <f t="shared" si="47"/>
        <v>0</v>
      </c>
      <c r="O299" s="113">
        <f>Valores!C$65*B299</f>
        <v>6651.37</v>
      </c>
      <c r="P299" s="113">
        <f>ROUND(IF((Valores!$E$5*B299)&lt;=Valores!$F$5,Valores!$E$5*B299,Valores!$F$5),2)</f>
        <v>3333.23</v>
      </c>
      <c r="Q299" s="113">
        <f>IF($F$4="NO",Valores!$C$28*B299,Valores!$C$28*B299/2)</f>
        <v>1747.04</v>
      </c>
      <c r="R299" s="113">
        <f>Valores!$C$7*B299</f>
        <v>1043.1400000000001</v>
      </c>
      <c r="S299" s="113">
        <f t="shared" si="52"/>
        <v>1043.1400000000001</v>
      </c>
      <c r="T299" s="113">
        <v>0</v>
      </c>
      <c r="U299" s="113">
        <v>0</v>
      </c>
      <c r="V299" s="169">
        <v>0</v>
      </c>
      <c r="W299" s="113">
        <f>ROUND(V299*Valores!$C$2,2)</f>
        <v>0</v>
      </c>
      <c r="X299" s="113">
        <v>0</v>
      </c>
      <c r="Y299" s="188">
        <v>0</v>
      </c>
      <c r="Z299" s="113">
        <f t="shared" si="48"/>
        <v>0</v>
      </c>
      <c r="AA299" s="169">
        <v>0</v>
      </c>
      <c r="AB299" s="113">
        <f>ROUND(AA299*Valores!$C$2,2)</f>
        <v>0</v>
      </c>
      <c r="AC299" s="113">
        <f>ROUND(IF($F$4="NO",Valores!$C$33*B299,Valores!$C$33*B299/2),2)</f>
        <v>1558.52</v>
      </c>
      <c r="AD299" s="113">
        <f>SUM(F299,H299,J299,L299,M299,N299,O299,P299,Q299,S299,T299,U299,W299,X299,Z299,AB299,AC299)*Valores!$C$58</f>
        <v>2468.9180000000001</v>
      </c>
      <c r="AE299" s="113">
        <f t="shared" si="49"/>
        <v>27158.098000000002</v>
      </c>
      <c r="AF299" s="113">
        <f>IF(Valores!$C$13*B299&gt;Valores!$F$13,Valores!$F$13,Valores!$C$13*B299)</f>
        <v>2428.5333333333333</v>
      </c>
      <c r="AG299" s="113">
        <f>Valores!$C$59/20*B299</f>
        <v>1250</v>
      </c>
      <c r="AH299" s="113">
        <f t="shared" si="45"/>
        <v>3678.5333333333333</v>
      </c>
      <c r="AI299" s="113">
        <f>AE299*Valores!$C$39</f>
        <v>-2987.3907800000002</v>
      </c>
      <c r="AJ299" s="113">
        <f>IF(AE299&lt;Valores!$E$40,-0.02,IF(AE299&lt;Valores!$F$40,-0.03,-0.04))*AE299</f>
        <v>-543.16196000000002</v>
      </c>
      <c r="AK299" s="113">
        <f>AE299*Valores!$C$42</f>
        <v>-1493.6953900000001</v>
      </c>
      <c r="AL299" s="113">
        <f>Valores!$C$56</f>
        <v>-1270.1600000000001</v>
      </c>
      <c r="AM299" s="113">
        <f>IF($F$5=0,Valores!$C$57,(Valores!$C$57+$F$5*(Valores!$C$57)))</f>
        <v>-7026</v>
      </c>
      <c r="AN299" s="113">
        <f t="shared" si="50"/>
        <v>17516.223203333335</v>
      </c>
      <c r="AO299" s="113">
        <f t="shared" si="44"/>
        <v>-2987.3907800000002</v>
      </c>
      <c r="AP299" s="113">
        <f t="shared" si="51"/>
        <v>-543.16196000000002</v>
      </c>
      <c r="AQ299" s="113">
        <f>AE299*Valores!$C$43</f>
        <v>-733.26864599999999</v>
      </c>
      <c r="AR299" s="113">
        <f>AE299*Valores!$C$44</f>
        <v>-81.474294</v>
      </c>
      <c r="AS299" s="113">
        <f t="shared" si="46"/>
        <v>26491.335653333335</v>
      </c>
      <c r="AT299" s="113">
        <f>AE299*Valores!$C$46</f>
        <v>4345.2956800000002</v>
      </c>
      <c r="AU299" s="113">
        <f>AE299*Valores!$C$47</f>
        <v>1901.0668600000004</v>
      </c>
      <c r="AV299" s="113">
        <f>AE299*Valores!$C$48</f>
        <v>271.58098000000001</v>
      </c>
      <c r="AW299" s="113">
        <f>AE299*Valores!$C$50</f>
        <v>950.53343000000018</v>
      </c>
      <c r="AX299" s="113">
        <f>AE299*Valores!$C$52</f>
        <v>1466.537292</v>
      </c>
      <c r="AY299" s="113">
        <f>AE299*Valores!$C$51</f>
        <v>162.948588</v>
      </c>
      <c r="AZ299" s="114"/>
      <c r="BA299" s="114">
        <f t="shared" si="53"/>
        <v>1</v>
      </c>
      <c r="BB299" s="111" t="s">
        <v>4</v>
      </c>
    </row>
    <row r="300" spans="1:1018" s="100" customFormat="1" ht="11.25" customHeight="1" x14ac:dyDescent="0.15">
      <c r="A300" s="111" t="s">
        <v>436</v>
      </c>
      <c r="B300" s="111">
        <v>1</v>
      </c>
      <c r="C300" s="114">
        <v>293</v>
      </c>
      <c r="D300" s="112" t="s">
        <v>437</v>
      </c>
      <c r="E300" s="171">
        <v>243</v>
      </c>
      <c r="F300" s="113">
        <f>ROUND(E300*Valores!$C$2,2)</f>
        <v>23766.86</v>
      </c>
      <c r="G300" s="169">
        <v>0</v>
      </c>
      <c r="H300" s="113">
        <f>ROUND(G300*Valores!$C$2,2)</f>
        <v>0</v>
      </c>
      <c r="I300" s="169">
        <v>0</v>
      </c>
      <c r="J300" s="113">
        <f>ROUND(I300*Valores!$C$2,2)</f>
        <v>0</v>
      </c>
      <c r="K300" s="169">
        <v>0</v>
      </c>
      <c r="L300" s="113">
        <f>ROUND(K300*Valores!$C$2,2)</f>
        <v>0</v>
      </c>
      <c r="M300" s="113">
        <f>ROUND(IF($H$2=0,IF(AND(A300&lt;&gt;"13-930",A300&lt;&gt;"13-940"),(SUM(F300,H300,J300,L300,W300,S300,Q300)*Valores!$C$4),0),0),2)</f>
        <v>0</v>
      </c>
      <c r="N300" s="113">
        <f t="shared" ref="N300:N326" si="54">ROUND(SUM(F300,L300,W300,Q300)*$H$2,2)</f>
        <v>0</v>
      </c>
      <c r="O300" s="113">
        <f>Valores!C$63*B300</f>
        <v>6846.24</v>
      </c>
      <c r="P300" s="113">
        <f>ROUND(IF((Valores!$E$5*B300)&lt;=Valores!$F$5,Valores!$E$5*B300,Valores!$F$5),2)*2</f>
        <v>6666.46</v>
      </c>
      <c r="Q300" s="113">
        <f>IF($F$4="NO",Valores!C29,Valores!C29/2)</f>
        <v>2597.48</v>
      </c>
      <c r="R300" s="113">
        <v>0</v>
      </c>
      <c r="S300" s="113">
        <f t="shared" ref="S300:S326" si="55">INT((R300*(1+$H$2)*C300/30*100)+0.5)/100</f>
        <v>0</v>
      </c>
      <c r="T300" s="113">
        <v>0</v>
      </c>
      <c r="U300" s="113">
        <v>0</v>
      </c>
      <c r="V300" s="169">
        <v>0</v>
      </c>
      <c r="W300" s="113">
        <f>ROUND(V300*Valores!$C$2,2)</f>
        <v>0</v>
      </c>
      <c r="X300" s="113">
        <v>0</v>
      </c>
      <c r="Y300" s="188">
        <v>0</v>
      </c>
      <c r="Z300" s="113">
        <f t="shared" si="48"/>
        <v>0</v>
      </c>
      <c r="AA300" s="169">
        <v>0</v>
      </c>
      <c r="AB300" s="113">
        <f>ROUND(AA300*Valores!$C$2,2)</f>
        <v>0</v>
      </c>
      <c r="AC300" s="113">
        <f>ROUND(IF($F$4="NO",Valores!$C$34,Valores!$C$34/2),2)</f>
        <v>2353.7600000000002</v>
      </c>
      <c r="AD300" s="113">
        <f>SUM(F300,H300,J300,L300,M300,N300,O300,P300,Q300,S300,T300,U300,W300,X300,Z300,AB300,AC300)*Valores!$C$58</f>
        <v>4223.0800000000008</v>
      </c>
      <c r="AE300" s="113">
        <f>SUM(F300,H300,J300,L300,M300,N300,O300,P300,Q300,S300,T300,U300,W300,X300,Z300,AB300,AC300,AD300)</f>
        <v>46453.880000000005</v>
      </c>
      <c r="AF300" s="113">
        <f>Valores!C14</f>
        <v>4857.07</v>
      </c>
      <c r="AG300" s="113">
        <f>Valores!$C$59/20*B300*2</f>
        <v>2500</v>
      </c>
      <c r="AH300" s="113">
        <f t="shared" si="45"/>
        <v>7357.07</v>
      </c>
      <c r="AI300" s="113">
        <f>AE300*Valores!$C$39</f>
        <v>-5109.9268000000002</v>
      </c>
      <c r="AJ300" s="113">
        <f>IF(AE300&lt;Valores!$E$40,-0.02,IF(AE300&lt;Valores!$F$40,-0.03,-0.04))*AE300</f>
        <v>-929.07760000000007</v>
      </c>
      <c r="AK300" s="113">
        <f>AE300*Valores!$C$42</f>
        <v>-2554.9634000000001</v>
      </c>
      <c r="AL300" s="113">
        <f>Valores!$C$56</f>
        <v>-1270.1600000000001</v>
      </c>
      <c r="AM300" s="113">
        <f>IF($F$5=0,Valores!$C$57,(Valores!$C$57+$F$5*(Valores!$C$57)))</f>
        <v>-7026</v>
      </c>
      <c r="AN300" s="113">
        <f t="shared" si="50"/>
        <v>36920.822200000002</v>
      </c>
      <c r="AO300" s="113">
        <f t="shared" si="44"/>
        <v>-5109.9268000000002</v>
      </c>
      <c r="AP300" s="113">
        <f t="shared" si="51"/>
        <v>-929.07760000000007</v>
      </c>
      <c r="AQ300" s="113">
        <f>AE300*Valores!$C$43</f>
        <v>-1254.25476</v>
      </c>
      <c r="AR300" s="113">
        <f>AE300*Valores!$C$44</f>
        <v>-139.36164000000002</v>
      </c>
      <c r="AS300" s="113">
        <f t="shared" si="46"/>
        <v>46378.329200000007</v>
      </c>
      <c r="AT300" s="113">
        <f>AE300*Valores!$C$46</f>
        <v>7432.6208000000006</v>
      </c>
      <c r="AU300" s="113">
        <f>AE300*Valores!$C$47</f>
        <v>3251.7716000000005</v>
      </c>
      <c r="AV300" s="113">
        <f>AE300*Valores!$C$48</f>
        <v>464.53880000000004</v>
      </c>
      <c r="AW300" s="113">
        <f>AE300*Valores!$C$50</f>
        <v>1625.8858000000002</v>
      </c>
      <c r="AX300" s="113">
        <f>AE300*Valores!$C$52</f>
        <v>2508.5095200000001</v>
      </c>
      <c r="AY300" s="113">
        <f>AE300*Valores!$C$51</f>
        <v>278.72328000000005</v>
      </c>
      <c r="AZ300" s="114"/>
      <c r="BA300" s="114">
        <v>8</v>
      </c>
      <c r="BB300" s="111" t="s">
        <v>4</v>
      </c>
    </row>
    <row r="301" spans="1:1018" s="100" customFormat="1" ht="11.25" customHeight="1" x14ac:dyDescent="0.15">
      <c r="A301" s="111" t="s">
        <v>596</v>
      </c>
      <c r="B301" s="111">
        <v>1</v>
      </c>
      <c r="C301" s="114">
        <v>294</v>
      </c>
      <c r="D301" s="112" t="s">
        <v>597</v>
      </c>
      <c r="E301" s="171">
        <v>121.5</v>
      </c>
      <c r="F301" s="113">
        <f>ROUND(E301*Valores!$C$2,2)</f>
        <v>11883.43</v>
      </c>
      <c r="G301" s="169">
        <v>0</v>
      </c>
      <c r="H301" s="113">
        <f>ROUND(G301*Valores!$C$2,2)</f>
        <v>0</v>
      </c>
      <c r="I301" s="169">
        <v>0</v>
      </c>
      <c r="J301" s="113">
        <f>ROUND(I301*Valores!$C$2,2)</f>
        <v>0</v>
      </c>
      <c r="K301" s="169">
        <v>0</v>
      </c>
      <c r="L301" s="113">
        <f>ROUND(K301*Valores!$C$2,2)</f>
        <v>0</v>
      </c>
      <c r="M301" s="113">
        <f>ROUND(IF($H$2=0,IF(AND(A301&lt;&gt;"13-930",A301&lt;&gt;"13-940"),(SUM(F301,H301,J301,L301,W301,S301,Q301)*Valores!$C$4),0),0),2)</f>
        <v>0</v>
      </c>
      <c r="N301" s="113">
        <f t="shared" si="54"/>
        <v>0</v>
      </c>
      <c r="O301" s="113">
        <f>Valores!C$64*B301</f>
        <v>3423.12</v>
      </c>
      <c r="P301" s="113">
        <f>ROUND(IF(B301&lt;15,(Valores!$E$5*B301),Valores!$D$5),2)-0.01</f>
        <v>3333.22</v>
      </c>
      <c r="Q301" s="113">
        <f>IF($F$4="NO",Valores!C30,Valores!C30/2)</f>
        <v>1298.74</v>
      </c>
      <c r="R301" s="113">
        <v>0</v>
      </c>
      <c r="S301" s="113">
        <f t="shared" si="55"/>
        <v>0</v>
      </c>
      <c r="T301" s="113">
        <v>0</v>
      </c>
      <c r="U301" s="113">
        <v>0</v>
      </c>
      <c r="V301" s="169">
        <v>0</v>
      </c>
      <c r="W301" s="113">
        <f>ROUND(V301*Valores!$C$2,2)</f>
        <v>0</v>
      </c>
      <c r="X301" s="113">
        <v>0</v>
      </c>
      <c r="Y301" s="188">
        <v>0</v>
      </c>
      <c r="Z301" s="113">
        <f t="shared" si="48"/>
        <v>0</v>
      </c>
      <c r="AA301" s="169">
        <v>0</v>
      </c>
      <c r="AB301" s="113">
        <f>ROUND(AA301*Valores!$C$2,2)</f>
        <v>0</v>
      </c>
      <c r="AC301" s="113">
        <f>ROUND(IF($F$4="NO",Valores!$C$35*B301,Valores!$C$35*B301/2),2)</f>
        <v>1176.8800000000001</v>
      </c>
      <c r="AD301" s="113">
        <f>SUM(F301,H301,J301,L301,M301,N301,O301,P301,Q301,S301,T301,U301,W301,X301,Z301,AB301,AC301)*Valores!$C$58</f>
        <v>2111.5390000000002</v>
      </c>
      <c r="AE301" s="113">
        <f t="shared" si="49"/>
        <v>23226.929000000004</v>
      </c>
      <c r="AF301" s="113">
        <f>Valores!C15</f>
        <v>2428.5333333333333</v>
      </c>
      <c r="AG301" s="113">
        <f>Valores!$C$59/20*B301</f>
        <v>1250</v>
      </c>
      <c r="AH301" s="113">
        <f t="shared" si="45"/>
        <v>3678.5333333333333</v>
      </c>
      <c r="AI301" s="113">
        <f>AE301*Valores!$C$39</f>
        <v>-2554.9621900000006</v>
      </c>
      <c r="AJ301" s="113">
        <f>IF(AE301&lt;Valores!$E$40,-0.02,IF(AE301&lt;Valores!$F$40,-0.03,-0.04))*AE301</f>
        <v>-464.53858000000008</v>
      </c>
      <c r="AK301" s="113">
        <f>AE301*Valores!$C$42</f>
        <v>-1277.4810950000003</v>
      </c>
      <c r="AL301" s="113">
        <f>Valores!$C$56</f>
        <v>-1270.1600000000001</v>
      </c>
      <c r="AM301" s="113">
        <f>IF($F$5=0,Valores!$C$57,(Valores!$C$57+$F$5*(Valores!$C$57)))</f>
        <v>-7026</v>
      </c>
      <c r="AN301" s="113">
        <f t="shared" si="50"/>
        <v>14312.320468333335</v>
      </c>
      <c r="AO301" s="113">
        <f>AI301</f>
        <v>-2554.9621900000006</v>
      </c>
      <c r="AP301" s="113">
        <f t="shared" si="51"/>
        <v>-464.53858000000008</v>
      </c>
      <c r="AQ301" s="113">
        <f>AE301*Valores!$C$43</f>
        <v>-627.12708300000008</v>
      </c>
      <c r="AR301" s="113">
        <f>AE301*Valores!$C$44</f>
        <v>-69.680787000000009</v>
      </c>
      <c r="AS301" s="113">
        <f t="shared" si="46"/>
        <v>23189.153693333334</v>
      </c>
      <c r="AT301" s="113">
        <f>AE301*Valores!$C$46</f>
        <v>3716.3086400000007</v>
      </c>
      <c r="AU301" s="113">
        <f>AE301*Valores!$C$47</f>
        <v>1625.8850300000004</v>
      </c>
      <c r="AV301" s="113">
        <f>AE301*Valores!$C$48</f>
        <v>232.26929000000004</v>
      </c>
      <c r="AW301" s="113">
        <f>AE301*Valores!$C$50</f>
        <v>812.94251500000018</v>
      </c>
      <c r="AX301" s="113">
        <f>AE301*Valores!$C$52</f>
        <v>1254.2541660000002</v>
      </c>
      <c r="AY301" s="113">
        <f>AE301*Valores!$C$51</f>
        <v>139.36157400000002</v>
      </c>
      <c r="AZ301" s="114"/>
      <c r="BA301" s="114">
        <v>4</v>
      </c>
      <c r="BB301" s="111" t="s">
        <v>4</v>
      </c>
    </row>
    <row r="302" spans="1:1018" s="127" customFormat="1" ht="11.25" customHeight="1" x14ac:dyDescent="0.15">
      <c r="A302" s="125"/>
      <c r="B302" s="126">
        <v>1</v>
      </c>
      <c r="C302" s="114">
        <v>295</v>
      </c>
      <c r="D302" s="115" t="s">
        <v>438</v>
      </c>
      <c r="E302" s="171">
        <v>700</v>
      </c>
      <c r="F302" s="113">
        <f>ROUND(E302*Valores!$C$2,2)</f>
        <v>68464.2</v>
      </c>
      <c r="G302" s="169">
        <v>0</v>
      </c>
      <c r="H302" s="113">
        <f>ROUND(G302*Valores!$C$2,2)</f>
        <v>0</v>
      </c>
      <c r="I302" s="169">
        <v>0</v>
      </c>
      <c r="J302" s="113">
        <f>ROUND(I302*Valores!$C$2,2)</f>
        <v>0</v>
      </c>
      <c r="K302" s="169">
        <v>0</v>
      </c>
      <c r="L302" s="113">
        <f>ROUND(K302*Valores!$C$2,2)</f>
        <v>0</v>
      </c>
      <c r="M302" s="113">
        <f>ROUND(IF($H$2=0,IF(AND(A302&lt;&gt;"13-930",A302&lt;&gt;"13-940"),(SUM(F302,H302,J302,L302,W302,S302,Q302)*Valores!$C$4),0),0),2)</f>
        <v>23667.45</v>
      </c>
      <c r="N302" s="113">
        <f t="shared" si="54"/>
        <v>0</v>
      </c>
      <c r="O302" s="113">
        <v>0</v>
      </c>
      <c r="P302" s="113">
        <v>0</v>
      </c>
      <c r="Q302" s="113">
        <f>IF($F$4="NO",Valores!$C$28*15,Valores!$C$28*15/2)</f>
        <v>26205.599999999999</v>
      </c>
      <c r="R302" s="113">
        <v>0</v>
      </c>
      <c r="S302" s="113">
        <f t="shared" si="55"/>
        <v>0</v>
      </c>
      <c r="T302" s="113">
        <v>0</v>
      </c>
      <c r="U302" s="113">
        <v>0</v>
      </c>
      <c r="V302" s="169">
        <v>0</v>
      </c>
      <c r="W302" s="113">
        <f>ROUND(V302*Valores!$C$2,2)</f>
        <v>0</v>
      </c>
      <c r="X302" s="113">
        <v>0</v>
      </c>
      <c r="Y302" s="188">
        <v>0</v>
      </c>
      <c r="Z302" s="113">
        <v>0</v>
      </c>
      <c r="AA302" s="169">
        <v>0</v>
      </c>
      <c r="AB302" s="113">
        <f>ROUND(AA302*Valores!$C$2,2)</f>
        <v>0</v>
      </c>
      <c r="AC302" s="113"/>
      <c r="AD302" s="113">
        <f>SUM(F302,H302,J302,L302,M302,N302,O302,P302,Q302,S302,T302,U302,W302,X302,Z302,AB302,AC302)*Valores!$C$58</f>
        <v>11833.725</v>
      </c>
      <c r="AE302" s="113">
        <f t="shared" si="49"/>
        <v>130170.97500000001</v>
      </c>
      <c r="AF302" s="113">
        <v>0</v>
      </c>
      <c r="AG302" s="113">
        <f>AE302*Valores!$C$60*Valores!$C$61</f>
        <v>0</v>
      </c>
      <c r="AH302" s="113">
        <f t="shared" si="45"/>
        <v>0</v>
      </c>
      <c r="AI302" s="113">
        <f>AE302*Valores!$C$39</f>
        <v>-14318.80725</v>
      </c>
      <c r="AJ302" s="113">
        <f>IF(AE302&lt;Valores!$E$40,-0.02,IF(AE302&lt;Valores!$F$40,-0.03,-0.04))*AE302</f>
        <v>-2603.4195</v>
      </c>
      <c r="AK302" s="113">
        <f>AE302*Valores!$C$42</f>
        <v>-7159.4036249999999</v>
      </c>
      <c r="AL302" s="113">
        <v>0</v>
      </c>
      <c r="AM302" s="113">
        <v>0</v>
      </c>
      <c r="AN302" s="113">
        <f t="shared" si="50"/>
        <v>106089.344625</v>
      </c>
      <c r="AO302" s="113">
        <f t="shared" si="44"/>
        <v>-14318.80725</v>
      </c>
      <c r="AP302" s="113">
        <f t="shared" si="51"/>
        <v>-2603.4195</v>
      </c>
      <c r="AQ302" s="113">
        <f>AE302*Valores!$C$43</f>
        <v>-3514.616325</v>
      </c>
      <c r="AR302" s="113">
        <f>AE302*Valores!$C$44</f>
        <v>-390.51292500000005</v>
      </c>
      <c r="AS302" s="113">
        <f t="shared" si="46"/>
        <v>109343.61900000001</v>
      </c>
      <c r="AT302" s="113">
        <f>AE302*Valores!$C$46</f>
        <v>20827.356</v>
      </c>
      <c r="AU302" s="113">
        <f>AE302*Valores!$C$47</f>
        <v>9111.9682500000017</v>
      </c>
      <c r="AV302" s="113">
        <f>AE302*Valores!$C$48</f>
        <v>1301.70975</v>
      </c>
      <c r="AW302" s="113">
        <f>AE302*Valores!$C$50</f>
        <v>4555.9841250000009</v>
      </c>
      <c r="AX302" s="113">
        <f>AE302*Valores!$C$52</f>
        <v>7029.2326499999999</v>
      </c>
      <c r="AY302" s="113">
        <f>AE302*Valores!$C$51</f>
        <v>781.0258500000001</v>
      </c>
      <c r="AZ302" s="114"/>
      <c r="BA302" s="114"/>
      <c r="BB302" s="111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00"/>
      <c r="FK302" s="100"/>
      <c r="FL302" s="100"/>
      <c r="FM302" s="100"/>
      <c r="FN302" s="100"/>
      <c r="FO302" s="100"/>
      <c r="FP302" s="100"/>
      <c r="FQ302" s="100"/>
      <c r="FR302" s="100"/>
      <c r="FS302" s="100"/>
      <c r="FT302" s="100"/>
      <c r="FU302" s="100"/>
      <c r="FV302" s="100"/>
      <c r="FW302" s="100"/>
      <c r="FX302" s="100"/>
      <c r="FY302" s="100"/>
      <c r="FZ302" s="100"/>
      <c r="GA302" s="100"/>
      <c r="GB302" s="100"/>
      <c r="GC302" s="100"/>
      <c r="GD302" s="100"/>
      <c r="GE302" s="100"/>
      <c r="GF302" s="100"/>
      <c r="GG302" s="100"/>
      <c r="GH302" s="100"/>
      <c r="GI302" s="100"/>
      <c r="GJ302" s="100"/>
      <c r="GK302" s="100"/>
      <c r="GL302" s="100"/>
      <c r="GM302" s="100"/>
      <c r="GN302" s="100"/>
      <c r="GO302" s="100"/>
      <c r="GP302" s="100"/>
      <c r="GQ302" s="100"/>
      <c r="GR302" s="100"/>
      <c r="GS302" s="100"/>
      <c r="GT302" s="100"/>
      <c r="GU302" s="100"/>
      <c r="GV302" s="100"/>
      <c r="GW302" s="100"/>
      <c r="GX302" s="100"/>
      <c r="GY302" s="100"/>
      <c r="GZ302" s="100"/>
      <c r="HA302" s="100"/>
      <c r="HB302" s="100"/>
      <c r="HC302" s="100"/>
      <c r="HD302" s="100"/>
      <c r="HE302" s="100"/>
      <c r="HF302" s="100"/>
      <c r="HG302" s="100"/>
      <c r="HH302" s="100"/>
      <c r="HI302" s="100"/>
      <c r="HJ302" s="100"/>
      <c r="HK302" s="100"/>
      <c r="HL302" s="100"/>
      <c r="HM302" s="100"/>
      <c r="HN302" s="100"/>
      <c r="HO302" s="100"/>
      <c r="HP302" s="100"/>
      <c r="HQ302" s="100"/>
      <c r="HR302" s="100"/>
      <c r="HS302" s="100"/>
      <c r="HT302" s="100"/>
      <c r="HU302" s="100"/>
      <c r="HV302" s="100"/>
      <c r="HW302" s="100"/>
      <c r="HX302" s="100"/>
      <c r="HY302" s="100"/>
      <c r="HZ302" s="100"/>
      <c r="IA302" s="100"/>
      <c r="IB302" s="100"/>
      <c r="IC302" s="100"/>
      <c r="ID302" s="100"/>
      <c r="IE302" s="100"/>
      <c r="IF302" s="100"/>
      <c r="IG302" s="100"/>
      <c r="IH302" s="100"/>
      <c r="II302" s="100"/>
      <c r="IJ302" s="100"/>
      <c r="IK302" s="100"/>
      <c r="IL302" s="100"/>
      <c r="IM302" s="100"/>
      <c r="IN302" s="100"/>
      <c r="IO302" s="100"/>
      <c r="IP302" s="100"/>
      <c r="IQ302" s="100"/>
      <c r="IR302" s="100"/>
      <c r="IS302" s="100"/>
      <c r="IT302" s="100"/>
      <c r="IU302" s="100"/>
      <c r="IV302" s="100"/>
      <c r="IW302" s="100"/>
      <c r="IX302" s="100"/>
      <c r="IY302" s="100"/>
      <c r="IZ302" s="100"/>
      <c r="JA302" s="100"/>
      <c r="JB302" s="100"/>
      <c r="JC302" s="100"/>
      <c r="JD302" s="100"/>
      <c r="JE302" s="100"/>
      <c r="JF302" s="100"/>
      <c r="JG302" s="100"/>
      <c r="JH302" s="100"/>
      <c r="JI302" s="100"/>
      <c r="JJ302" s="100"/>
      <c r="JK302" s="100"/>
      <c r="JL302" s="100"/>
      <c r="JM302" s="100"/>
      <c r="JN302" s="100"/>
      <c r="JO302" s="100"/>
      <c r="JP302" s="100"/>
      <c r="JQ302" s="100"/>
      <c r="JR302" s="100"/>
      <c r="JS302" s="100"/>
      <c r="JT302" s="100"/>
      <c r="JU302" s="100"/>
      <c r="JV302" s="100"/>
      <c r="JW302" s="100"/>
      <c r="JX302" s="100"/>
      <c r="JY302" s="100"/>
      <c r="JZ302" s="100"/>
      <c r="KA302" s="100"/>
      <c r="KB302" s="100"/>
      <c r="KC302" s="100"/>
      <c r="KD302" s="100"/>
      <c r="KE302" s="100"/>
      <c r="KF302" s="100"/>
      <c r="KG302" s="100"/>
      <c r="KH302" s="100"/>
      <c r="KI302" s="100"/>
      <c r="KJ302" s="100"/>
      <c r="KK302" s="100"/>
      <c r="KL302" s="100"/>
      <c r="KM302" s="100"/>
      <c r="KN302" s="100"/>
      <c r="KO302" s="100"/>
      <c r="KP302" s="100"/>
      <c r="KQ302" s="100"/>
      <c r="KR302" s="100"/>
      <c r="KS302" s="100"/>
      <c r="KT302" s="100"/>
      <c r="KU302" s="100"/>
      <c r="KV302" s="100"/>
      <c r="KW302" s="100"/>
      <c r="KX302" s="100"/>
      <c r="KY302" s="100"/>
      <c r="KZ302" s="100"/>
      <c r="LA302" s="100"/>
      <c r="LB302" s="100"/>
      <c r="LC302" s="100"/>
      <c r="LD302" s="100"/>
      <c r="LE302" s="100"/>
      <c r="LF302" s="100"/>
      <c r="LG302" s="100"/>
      <c r="LH302" s="100"/>
      <c r="LI302" s="100"/>
      <c r="LJ302" s="100"/>
      <c r="LK302" s="100"/>
      <c r="LL302" s="100"/>
      <c r="LM302" s="100"/>
      <c r="LN302" s="100"/>
      <c r="LO302" s="100"/>
      <c r="LP302" s="100"/>
      <c r="LQ302" s="100"/>
      <c r="LR302" s="100"/>
      <c r="LS302" s="100"/>
      <c r="LT302" s="100"/>
      <c r="LU302" s="100"/>
      <c r="LV302" s="100"/>
      <c r="LW302" s="100"/>
      <c r="LX302" s="100"/>
      <c r="LY302" s="100"/>
      <c r="LZ302" s="100"/>
      <c r="MA302" s="100"/>
      <c r="MB302" s="100"/>
      <c r="MC302" s="100"/>
      <c r="MD302" s="100"/>
      <c r="ME302" s="100"/>
      <c r="MF302" s="100"/>
      <c r="MG302" s="100"/>
      <c r="MH302" s="100"/>
      <c r="MI302" s="100"/>
      <c r="MJ302" s="100"/>
      <c r="MK302" s="100"/>
      <c r="ML302" s="100"/>
      <c r="MM302" s="100"/>
      <c r="MN302" s="100"/>
      <c r="MO302" s="100"/>
      <c r="MP302" s="100"/>
      <c r="MQ302" s="100"/>
      <c r="MR302" s="100"/>
      <c r="MS302" s="100"/>
      <c r="MT302" s="100"/>
      <c r="MU302" s="100"/>
      <c r="MV302" s="100"/>
      <c r="MW302" s="100"/>
      <c r="MX302" s="100"/>
      <c r="MY302" s="100"/>
      <c r="MZ302" s="100"/>
      <c r="NA302" s="100"/>
      <c r="NB302" s="100"/>
      <c r="NC302" s="100"/>
      <c r="ND302" s="100"/>
      <c r="NE302" s="100"/>
      <c r="NF302" s="100"/>
      <c r="NG302" s="100"/>
      <c r="NH302" s="100"/>
      <c r="NI302" s="100"/>
      <c r="NJ302" s="100"/>
      <c r="NK302" s="100"/>
      <c r="NL302" s="100"/>
      <c r="NM302" s="100"/>
      <c r="NN302" s="100"/>
      <c r="NO302" s="100"/>
      <c r="NP302" s="100"/>
      <c r="NQ302" s="100"/>
      <c r="NR302" s="100"/>
      <c r="NS302" s="100"/>
      <c r="NT302" s="100"/>
      <c r="NU302" s="100"/>
      <c r="NV302" s="100"/>
      <c r="NW302" s="100"/>
      <c r="NX302" s="100"/>
      <c r="NY302" s="100"/>
      <c r="NZ302" s="100"/>
      <c r="OA302" s="100"/>
      <c r="OB302" s="100"/>
      <c r="OC302" s="100"/>
      <c r="OD302" s="100"/>
      <c r="OE302" s="100"/>
      <c r="OF302" s="100"/>
      <c r="OG302" s="100"/>
      <c r="OH302" s="100"/>
      <c r="OI302" s="100"/>
      <c r="OJ302" s="100"/>
      <c r="OK302" s="100"/>
      <c r="OL302" s="100"/>
      <c r="OM302" s="100"/>
      <c r="ON302" s="100"/>
      <c r="OO302" s="100"/>
      <c r="OP302" s="100"/>
      <c r="OQ302" s="100"/>
      <c r="OR302" s="100"/>
      <c r="OS302" s="100"/>
      <c r="OT302" s="100"/>
      <c r="OU302" s="100"/>
      <c r="OV302" s="100"/>
      <c r="OW302" s="100"/>
      <c r="OX302" s="100"/>
      <c r="OY302" s="100"/>
      <c r="OZ302" s="100"/>
      <c r="PA302" s="100"/>
      <c r="PB302" s="100"/>
      <c r="PC302" s="100"/>
      <c r="PD302" s="100"/>
      <c r="PE302" s="100"/>
      <c r="PF302" s="100"/>
      <c r="PG302" s="100"/>
      <c r="PH302" s="100"/>
      <c r="PI302" s="100"/>
      <c r="PJ302" s="100"/>
      <c r="PK302" s="100"/>
      <c r="PL302" s="100"/>
      <c r="PM302" s="100"/>
      <c r="PN302" s="100"/>
      <c r="PO302" s="100"/>
      <c r="PP302" s="100"/>
      <c r="PQ302" s="100"/>
      <c r="PR302" s="100"/>
      <c r="PS302" s="100"/>
      <c r="PT302" s="100"/>
      <c r="PU302" s="100"/>
      <c r="PV302" s="100"/>
      <c r="PW302" s="100"/>
      <c r="PX302" s="100"/>
      <c r="PY302" s="100"/>
      <c r="PZ302" s="100"/>
      <c r="QA302" s="100"/>
      <c r="QB302" s="100"/>
      <c r="QC302" s="100"/>
      <c r="QD302" s="100"/>
      <c r="QE302" s="100"/>
      <c r="QF302" s="100"/>
      <c r="QG302" s="100"/>
      <c r="QH302" s="100"/>
      <c r="QI302" s="100"/>
      <c r="QJ302" s="100"/>
      <c r="QK302" s="100"/>
      <c r="QL302" s="100"/>
      <c r="QM302" s="100"/>
      <c r="QN302" s="100"/>
      <c r="QO302" s="100"/>
      <c r="QP302" s="100"/>
      <c r="QQ302" s="100"/>
      <c r="QR302" s="100"/>
      <c r="QS302" s="100"/>
      <c r="QT302" s="100"/>
      <c r="QU302" s="100"/>
      <c r="QV302" s="100"/>
      <c r="QW302" s="100"/>
      <c r="QX302" s="100"/>
      <c r="QY302" s="100"/>
      <c r="QZ302" s="100"/>
      <c r="RA302" s="100"/>
      <c r="RB302" s="100"/>
      <c r="RC302" s="100"/>
      <c r="RD302" s="100"/>
      <c r="RE302" s="100"/>
      <c r="RF302" s="100"/>
      <c r="RG302" s="100"/>
      <c r="RH302" s="100"/>
      <c r="RI302" s="100"/>
      <c r="RJ302" s="100"/>
      <c r="RK302" s="100"/>
      <c r="RL302" s="100"/>
      <c r="RM302" s="100"/>
      <c r="RN302" s="100"/>
      <c r="RO302" s="100"/>
      <c r="RP302" s="100"/>
      <c r="RQ302" s="100"/>
      <c r="RR302" s="100"/>
      <c r="RS302" s="100"/>
      <c r="RT302" s="100"/>
      <c r="RU302" s="100"/>
      <c r="RV302" s="100"/>
      <c r="RW302" s="100"/>
      <c r="RX302" s="100"/>
      <c r="RY302" s="100"/>
      <c r="RZ302" s="100"/>
      <c r="SA302" s="100"/>
      <c r="SB302" s="100"/>
      <c r="SC302" s="100"/>
      <c r="SD302" s="100"/>
      <c r="SE302" s="100"/>
      <c r="SF302" s="100"/>
      <c r="SG302" s="100"/>
      <c r="SH302" s="100"/>
      <c r="SI302" s="100"/>
      <c r="SJ302" s="100"/>
      <c r="SK302" s="100"/>
      <c r="SL302" s="100"/>
      <c r="SM302" s="100"/>
      <c r="SN302" s="100"/>
      <c r="SO302" s="100"/>
      <c r="SP302" s="100"/>
      <c r="SQ302" s="100"/>
      <c r="SR302" s="100"/>
      <c r="SS302" s="100"/>
      <c r="ST302" s="100"/>
      <c r="SU302" s="100"/>
      <c r="SV302" s="100"/>
      <c r="SW302" s="100"/>
      <c r="SX302" s="100"/>
      <c r="SY302" s="100"/>
      <c r="SZ302" s="100"/>
      <c r="TA302" s="100"/>
      <c r="TB302" s="100"/>
      <c r="TC302" s="100"/>
      <c r="TD302" s="100"/>
      <c r="TE302" s="100"/>
      <c r="TF302" s="100"/>
      <c r="TG302" s="100"/>
      <c r="TH302" s="100"/>
      <c r="TI302" s="100"/>
      <c r="TJ302" s="100"/>
      <c r="TK302" s="100"/>
      <c r="TL302" s="100"/>
      <c r="TM302" s="100"/>
      <c r="TN302" s="100"/>
      <c r="TO302" s="100"/>
      <c r="TP302" s="100"/>
      <c r="TQ302" s="100"/>
      <c r="TR302" s="100"/>
      <c r="TS302" s="100"/>
      <c r="TT302" s="100"/>
      <c r="TU302" s="100"/>
      <c r="TV302" s="100"/>
      <c r="TW302" s="100"/>
      <c r="TX302" s="100"/>
      <c r="TY302" s="100"/>
      <c r="TZ302" s="100"/>
      <c r="UA302" s="100"/>
      <c r="UB302" s="100"/>
      <c r="UC302" s="100"/>
      <c r="UD302" s="100"/>
      <c r="UE302" s="100"/>
      <c r="UF302" s="100"/>
      <c r="UG302" s="100"/>
      <c r="UH302" s="100"/>
      <c r="UI302" s="100"/>
      <c r="UJ302" s="100"/>
      <c r="UK302" s="100"/>
      <c r="UL302" s="100"/>
      <c r="UM302" s="100"/>
      <c r="UN302" s="100"/>
      <c r="UO302" s="100"/>
      <c r="UP302" s="100"/>
      <c r="UQ302" s="100"/>
      <c r="UR302" s="100"/>
      <c r="US302" s="100"/>
      <c r="UT302" s="100"/>
      <c r="UU302" s="100"/>
      <c r="UV302" s="100"/>
      <c r="UW302" s="100"/>
      <c r="UX302" s="100"/>
      <c r="UY302" s="100"/>
      <c r="UZ302" s="100"/>
      <c r="VA302" s="100"/>
      <c r="VB302" s="100"/>
      <c r="VC302" s="100"/>
      <c r="VD302" s="100"/>
      <c r="VE302" s="100"/>
      <c r="VF302" s="100"/>
      <c r="VG302" s="100"/>
      <c r="VH302" s="100"/>
      <c r="VI302" s="100"/>
      <c r="VJ302" s="100"/>
      <c r="VK302" s="100"/>
      <c r="VL302" s="100"/>
      <c r="VM302" s="100"/>
      <c r="VN302" s="100"/>
      <c r="VO302" s="100"/>
      <c r="VP302" s="100"/>
      <c r="VQ302" s="100"/>
      <c r="VR302" s="100"/>
      <c r="VS302" s="100"/>
      <c r="VT302" s="100"/>
      <c r="VU302" s="100"/>
      <c r="VV302" s="100"/>
      <c r="VW302" s="100"/>
      <c r="VX302" s="100"/>
      <c r="VY302" s="100"/>
      <c r="VZ302" s="100"/>
      <c r="WA302" s="100"/>
      <c r="WB302" s="100"/>
      <c r="WC302" s="100"/>
      <c r="WD302" s="100"/>
      <c r="WE302" s="100"/>
      <c r="WF302" s="100"/>
      <c r="WG302" s="100"/>
      <c r="WH302" s="100"/>
      <c r="WI302" s="100"/>
      <c r="WJ302" s="100"/>
      <c r="WK302" s="100"/>
      <c r="WL302" s="100"/>
      <c r="WM302" s="100"/>
      <c r="WN302" s="100"/>
      <c r="WO302" s="100"/>
      <c r="WP302" s="100"/>
      <c r="WQ302" s="100"/>
      <c r="WR302" s="100"/>
      <c r="WS302" s="100"/>
      <c r="WT302" s="100"/>
      <c r="WU302" s="100"/>
      <c r="WV302" s="100"/>
      <c r="WW302" s="100"/>
      <c r="WX302" s="100"/>
      <c r="WY302" s="100"/>
      <c r="WZ302" s="100"/>
      <c r="XA302" s="100"/>
      <c r="XB302" s="100"/>
      <c r="XC302" s="100"/>
      <c r="XD302" s="100"/>
      <c r="XE302" s="100"/>
      <c r="XF302" s="100"/>
      <c r="XG302" s="100"/>
      <c r="XH302" s="100"/>
      <c r="XI302" s="100"/>
      <c r="XJ302" s="100"/>
      <c r="XK302" s="100"/>
      <c r="XL302" s="100"/>
      <c r="XM302" s="100"/>
      <c r="XN302" s="100"/>
      <c r="XO302" s="100"/>
      <c r="XP302" s="100"/>
      <c r="XQ302" s="100"/>
      <c r="XR302" s="100"/>
      <c r="XS302" s="100"/>
      <c r="XT302" s="100"/>
      <c r="XU302" s="100"/>
      <c r="XV302" s="100"/>
      <c r="XW302" s="100"/>
      <c r="XX302" s="100"/>
      <c r="XY302" s="100"/>
      <c r="XZ302" s="100"/>
      <c r="YA302" s="100"/>
      <c r="YB302" s="100"/>
      <c r="YC302" s="100"/>
      <c r="YD302" s="100"/>
      <c r="YE302" s="100"/>
      <c r="YF302" s="100"/>
      <c r="YG302" s="100"/>
      <c r="YH302" s="100"/>
      <c r="YI302" s="100"/>
      <c r="YJ302" s="100"/>
      <c r="YK302" s="100"/>
      <c r="YL302" s="100"/>
      <c r="YM302" s="100"/>
      <c r="YN302" s="100"/>
      <c r="YO302" s="100"/>
      <c r="YP302" s="100"/>
      <c r="YQ302" s="100"/>
      <c r="YR302" s="100"/>
      <c r="YS302" s="100"/>
      <c r="YT302" s="100"/>
      <c r="YU302" s="100"/>
      <c r="YV302" s="100"/>
      <c r="YW302" s="100"/>
      <c r="YX302" s="100"/>
      <c r="YY302" s="100"/>
      <c r="YZ302" s="100"/>
      <c r="ZA302" s="100"/>
      <c r="ZB302" s="100"/>
      <c r="ZC302" s="100"/>
      <c r="ZD302" s="100"/>
      <c r="ZE302" s="100"/>
      <c r="ZF302" s="100"/>
      <c r="ZG302" s="100"/>
      <c r="ZH302" s="100"/>
      <c r="ZI302" s="100"/>
      <c r="ZJ302" s="100"/>
      <c r="ZK302" s="100"/>
      <c r="ZL302" s="100"/>
      <c r="ZM302" s="100"/>
      <c r="ZN302" s="100"/>
      <c r="ZO302" s="100"/>
      <c r="ZP302" s="100"/>
      <c r="ZQ302" s="100"/>
      <c r="ZR302" s="100"/>
      <c r="ZS302" s="100"/>
      <c r="ZT302" s="100"/>
      <c r="ZU302" s="100"/>
      <c r="ZV302" s="100"/>
      <c r="ZW302" s="100"/>
      <c r="ZX302" s="100"/>
      <c r="ZY302" s="100"/>
      <c r="ZZ302" s="100"/>
      <c r="AAA302" s="100"/>
      <c r="AAB302" s="100"/>
      <c r="AAC302" s="100"/>
      <c r="AAD302" s="100"/>
      <c r="AAE302" s="100"/>
      <c r="AAF302" s="100"/>
      <c r="AAG302" s="100"/>
      <c r="AAH302" s="100"/>
      <c r="AAI302" s="100"/>
      <c r="AAJ302" s="100"/>
      <c r="AAK302" s="100"/>
      <c r="AAL302" s="100"/>
      <c r="AAM302" s="100"/>
      <c r="AAN302" s="100"/>
      <c r="AAO302" s="100"/>
      <c r="AAP302" s="100"/>
      <c r="AAQ302" s="100"/>
      <c r="AAR302" s="100"/>
      <c r="AAS302" s="100"/>
      <c r="AAT302" s="100"/>
      <c r="AAU302" s="100"/>
      <c r="AAV302" s="100"/>
      <c r="AAW302" s="100"/>
      <c r="AAX302" s="100"/>
      <c r="AAY302" s="100"/>
      <c r="AAZ302" s="100"/>
      <c r="ABA302" s="100"/>
      <c r="ABB302" s="100"/>
      <c r="ABC302" s="100"/>
      <c r="ABD302" s="100"/>
      <c r="ABE302" s="100"/>
      <c r="ABF302" s="100"/>
      <c r="ABG302" s="100"/>
      <c r="ABH302" s="100"/>
      <c r="ABI302" s="100"/>
      <c r="ABJ302" s="100"/>
      <c r="ABK302" s="100"/>
      <c r="ABL302" s="100"/>
      <c r="ABM302" s="100"/>
      <c r="ABN302" s="100"/>
      <c r="ABO302" s="100"/>
      <c r="ABP302" s="100"/>
      <c r="ABQ302" s="100"/>
      <c r="ABR302" s="100"/>
      <c r="ABS302" s="100"/>
      <c r="ABT302" s="100"/>
      <c r="ABU302" s="100"/>
      <c r="ABV302" s="100"/>
      <c r="ABW302" s="100"/>
      <c r="ABX302" s="100"/>
      <c r="ABY302" s="100"/>
      <c r="ABZ302" s="100"/>
      <c r="ACA302" s="100"/>
      <c r="ACB302" s="100"/>
      <c r="ACC302" s="100"/>
      <c r="ACD302" s="100"/>
      <c r="ACE302" s="100"/>
      <c r="ACF302" s="100"/>
      <c r="ACG302" s="100"/>
      <c r="ACH302" s="100"/>
      <c r="ACI302" s="100"/>
      <c r="ACJ302" s="100"/>
      <c r="ACK302" s="100"/>
      <c r="ACL302" s="100"/>
      <c r="ACM302" s="100"/>
      <c r="ACN302" s="100"/>
      <c r="ACO302" s="100"/>
      <c r="ACP302" s="100"/>
      <c r="ACQ302" s="100"/>
      <c r="ACR302" s="100"/>
      <c r="ACS302" s="100"/>
      <c r="ACT302" s="100"/>
      <c r="ACU302" s="100"/>
      <c r="ACV302" s="100"/>
      <c r="ACW302" s="100"/>
      <c r="ACX302" s="100"/>
      <c r="ACY302" s="100"/>
      <c r="ACZ302" s="100"/>
      <c r="ADA302" s="100"/>
      <c r="ADB302" s="100"/>
      <c r="ADC302" s="100"/>
      <c r="ADD302" s="100"/>
      <c r="ADE302" s="100"/>
      <c r="ADF302" s="100"/>
      <c r="ADG302" s="100"/>
      <c r="ADH302" s="100"/>
      <c r="ADI302" s="100"/>
      <c r="ADJ302" s="100"/>
      <c r="ADK302" s="100"/>
      <c r="ADL302" s="100"/>
      <c r="ADM302" s="100"/>
      <c r="ADN302" s="100"/>
      <c r="ADO302" s="100"/>
      <c r="ADP302" s="100"/>
      <c r="ADQ302" s="100"/>
      <c r="ADR302" s="100"/>
      <c r="ADS302" s="100"/>
      <c r="ADT302" s="100"/>
      <c r="ADU302" s="100"/>
      <c r="ADV302" s="100"/>
      <c r="ADW302" s="100"/>
      <c r="ADX302" s="100"/>
      <c r="ADY302" s="100"/>
      <c r="ADZ302" s="100"/>
      <c r="AEA302" s="100"/>
      <c r="AEB302" s="100"/>
      <c r="AEC302" s="100"/>
      <c r="AED302" s="100"/>
      <c r="AEE302" s="100"/>
      <c r="AEF302" s="100"/>
      <c r="AEG302" s="100"/>
      <c r="AEH302" s="100"/>
      <c r="AEI302" s="100"/>
      <c r="AEJ302" s="100"/>
      <c r="AEK302" s="100"/>
      <c r="AEL302" s="100"/>
      <c r="AEM302" s="100"/>
      <c r="AEN302" s="100"/>
      <c r="AEO302" s="100"/>
      <c r="AEP302" s="100"/>
      <c r="AEQ302" s="100"/>
      <c r="AER302" s="100"/>
      <c r="AES302" s="100"/>
      <c r="AET302" s="100"/>
      <c r="AEU302" s="100"/>
      <c r="AEV302" s="100"/>
      <c r="AEW302" s="100"/>
      <c r="AEX302" s="100"/>
      <c r="AEY302" s="100"/>
      <c r="AEZ302" s="100"/>
      <c r="AFA302" s="100"/>
      <c r="AFB302" s="100"/>
      <c r="AFC302" s="100"/>
      <c r="AFD302" s="100"/>
      <c r="AFE302" s="100"/>
      <c r="AFF302" s="100"/>
      <c r="AFG302" s="100"/>
      <c r="AFH302" s="100"/>
      <c r="AFI302" s="100"/>
      <c r="AFJ302" s="100"/>
      <c r="AFK302" s="100"/>
      <c r="AFL302" s="100"/>
      <c r="AFM302" s="100"/>
      <c r="AFN302" s="100"/>
      <c r="AFO302" s="100"/>
      <c r="AFP302" s="100"/>
      <c r="AFQ302" s="100"/>
      <c r="AFR302" s="100"/>
      <c r="AFS302" s="100"/>
      <c r="AFT302" s="100"/>
      <c r="AFU302" s="100"/>
      <c r="AFV302" s="100"/>
      <c r="AFW302" s="100"/>
      <c r="AFX302" s="100"/>
      <c r="AFY302" s="100"/>
      <c r="AFZ302" s="100"/>
      <c r="AGA302" s="100"/>
      <c r="AGB302" s="100"/>
      <c r="AGC302" s="100"/>
      <c r="AGD302" s="100"/>
      <c r="AGE302" s="100"/>
      <c r="AGF302" s="100"/>
      <c r="AGG302" s="100"/>
      <c r="AGH302" s="100"/>
      <c r="AGI302" s="100"/>
      <c r="AGJ302" s="100"/>
      <c r="AGK302" s="100"/>
      <c r="AGL302" s="100"/>
      <c r="AGM302" s="100"/>
      <c r="AGN302" s="100"/>
      <c r="AGO302" s="100"/>
      <c r="AGP302" s="100"/>
      <c r="AGQ302" s="100"/>
      <c r="AGR302" s="100"/>
      <c r="AGS302" s="100"/>
      <c r="AGT302" s="100"/>
      <c r="AGU302" s="100"/>
      <c r="AGV302" s="100"/>
      <c r="AGW302" s="100"/>
      <c r="AGX302" s="100"/>
      <c r="AGY302" s="100"/>
      <c r="AGZ302" s="100"/>
      <c r="AHA302" s="100"/>
      <c r="AHB302" s="100"/>
      <c r="AHC302" s="100"/>
      <c r="AHD302" s="100"/>
      <c r="AHE302" s="100"/>
      <c r="AHF302" s="100"/>
      <c r="AHG302" s="100"/>
      <c r="AHH302" s="100"/>
      <c r="AHI302" s="100"/>
      <c r="AHJ302" s="100"/>
      <c r="AHK302" s="100"/>
      <c r="AHL302" s="100"/>
      <c r="AHM302" s="100"/>
      <c r="AHN302" s="100"/>
      <c r="AHO302" s="100"/>
      <c r="AHP302" s="100"/>
      <c r="AHQ302" s="100"/>
      <c r="AHR302" s="100"/>
      <c r="AHS302" s="100"/>
      <c r="AHT302" s="100"/>
      <c r="AHU302" s="100"/>
      <c r="AHV302" s="100"/>
      <c r="AHW302" s="100"/>
      <c r="AHX302" s="100"/>
      <c r="AHY302" s="100"/>
      <c r="AHZ302" s="100"/>
      <c r="AIA302" s="100"/>
      <c r="AIB302" s="100"/>
      <c r="AIC302" s="100"/>
      <c r="AID302" s="100"/>
      <c r="AIE302" s="100"/>
      <c r="AIF302" s="100"/>
      <c r="AIG302" s="100"/>
      <c r="AIH302" s="100"/>
      <c r="AII302" s="100"/>
      <c r="AIJ302" s="100"/>
      <c r="AIK302" s="100"/>
      <c r="AIL302" s="100"/>
      <c r="AIM302" s="100"/>
      <c r="AIN302" s="100"/>
      <c r="AIO302" s="100"/>
      <c r="AIP302" s="100"/>
      <c r="AIQ302" s="100"/>
      <c r="AIR302" s="100"/>
      <c r="AIS302" s="100"/>
      <c r="AIT302" s="100"/>
      <c r="AIU302" s="100"/>
      <c r="AIV302" s="100"/>
      <c r="AIW302" s="100"/>
      <c r="AIX302" s="100"/>
      <c r="AIY302" s="100"/>
      <c r="AIZ302" s="100"/>
      <c r="AJA302" s="100"/>
      <c r="AJB302" s="100"/>
      <c r="AJC302" s="100"/>
      <c r="AJD302" s="100"/>
      <c r="AJE302" s="100"/>
      <c r="AJF302" s="100"/>
      <c r="AJG302" s="100"/>
      <c r="AJH302" s="100"/>
      <c r="AJI302" s="100"/>
      <c r="AJJ302" s="100"/>
      <c r="AJK302" s="100"/>
      <c r="AJL302" s="100"/>
      <c r="AJM302" s="100"/>
      <c r="AJN302" s="100"/>
      <c r="AJO302" s="100"/>
      <c r="AJP302" s="100"/>
      <c r="AJQ302" s="100"/>
      <c r="AJR302" s="100"/>
      <c r="AJS302" s="100"/>
      <c r="AJT302" s="100"/>
      <c r="AJU302" s="100"/>
      <c r="AJV302" s="100"/>
      <c r="AJW302" s="100"/>
      <c r="AJX302" s="100"/>
      <c r="AJY302" s="100"/>
      <c r="AJZ302" s="100"/>
      <c r="AKA302" s="100"/>
      <c r="AKB302" s="100"/>
      <c r="AKC302" s="100"/>
      <c r="AKD302" s="100"/>
      <c r="AKE302" s="100"/>
      <c r="AKF302" s="100"/>
      <c r="AKG302" s="100"/>
      <c r="AKH302" s="100"/>
      <c r="AKI302" s="100"/>
      <c r="AKJ302" s="100"/>
      <c r="AKK302" s="100"/>
      <c r="AKL302" s="100"/>
      <c r="AKM302" s="100"/>
      <c r="AKN302" s="100"/>
      <c r="AKO302" s="100"/>
      <c r="AKP302" s="100"/>
      <c r="AKQ302" s="100"/>
      <c r="AKR302" s="100"/>
      <c r="AKS302" s="100"/>
      <c r="AKT302" s="100"/>
      <c r="AKU302" s="100"/>
      <c r="AKV302" s="100"/>
      <c r="AKW302" s="100"/>
      <c r="AKX302" s="100"/>
      <c r="AKY302" s="100"/>
      <c r="AKZ302" s="100"/>
      <c r="ALA302" s="100"/>
      <c r="ALB302" s="100"/>
      <c r="ALC302" s="100"/>
      <c r="ALD302" s="100"/>
      <c r="ALE302" s="100"/>
      <c r="ALF302" s="100"/>
      <c r="ALG302" s="100"/>
      <c r="ALH302" s="100"/>
      <c r="ALI302" s="100"/>
      <c r="ALJ302" s="100"/>
      <c r="ALK302" s="100"/>
      <c r="ALL302" s="100"/>
      <c r="ALM302" s="100"/>
      <c r="ALN302" s="100"/>
      <c r="ALO302" s="100"/>
      <c r="ALP302" s="100"/>
      <c r="ALQ302" s="100"/>
      <c r="ALR302" s="100"/>
      <c r="ALS302" s="100"/>
      <c r="ALT302" s="100"/>
      <c r="ALU302" s="100"/>
      <c r="ALV302" s="100"/>
      <c r="ALW302" s="100"/>
      <c r="ALX302" s="100"/>
      <c r="ALY302" s="100"/>
      <c r="ALZ302" s="100"/>
      <c r="AMA302" s="100"/>
      <c r="AMB302" s="100"/>
      <c r="AMC302" s="100"/>
      <c r="AMD302" s="100"/>
    </row>
    <row r="303" spans="1:1018" s="127" customFormat="1" ht="11.25" customHeight="1" x14ac:dyDescent="0.15">
      <c r="A303" s="114"/>
      <c r="B303" s="126">
        <v>1</v>
      </c>
      <c r="C303" s="114">
        <v>296</v>
      </c>
      <c r="D303" s="115" t="s">
        <v>439</v>
      </c>
      <c r="E303" s="171">
        <v>500</v>
      </c>
      <c r="F303" s="113">
        <f>ROUND(E303*Valores!$C$2,2)</f>
        <v>48903</v>
      </c>
      <c r="G303" s="169">
        <v>0</v>
      </c>
      <c r="H303" s="113">
        <f>ROUND(G303*Valores!$C$2,2)</f>
        <v>0</v>
      </c>
      <c r="I303" s="169">
        <v>0</v>
      </c>
      <c r="J303" s="113">
        <f>ROUND(I303*Valores!$C$2,2)</f>
        <v>0</v>
      </c>
      <c r="K303" s="169">
        <v>0</v>
      </c>
      <c r="L303" s="113">
        <f>ROUND(K303*Valores!$C$2,2)</f>
        <v>0</v>
      </c>
      <c r="M303" s="113">
        <f>ROUND(IF($H$2=0,IF(AND(A303&lt;&gt;"13-930",A303&lt;&gt;"13-940"),(SUM(F303,H303,J303,L303,W303,S303,Q303)*Valores!$C$4),0),0),2)</f>
        <v>16593.349999999999</v>
      </c>
      <c r="N303" s="113">
        <f t="shared" si="54"/>
        <v>0</v>
      </c>
      <c r="O303" s="113">
        <v>0</v>
      </c>
      <c r="P303" s="113">
        <v>0</v>
      </c>
      <c r="Q303" s="113">
        <f>IF($F$4="NO",Valores!$C$28*10,Valores!$C$28*10/2)</f>
        <v>17470.400000000001</v>
      </c>
      <c r="R303" s="113">
        <v>0</v>
      </c>
      <c r="S303" s="113">
        <f t="shared" si="55"/>
        <v>0</v>
      </c>
      <c r="T303" s="113">
        <v>0</v>
      </c>
      <c r="U303" s="113">
        <v>0</v>
      </c>
      <c r="V303" s="169">
        <v>0</v>
      </c>
      <c r="W303" s="113">
        <f>ROUND(V303*Valores!$C$2,2)</f>
        <v>0</v>
      </c>
      <c r="X303" s="113">
        <v>0</v>
      </c>
      <c r="Y303" s="188">
        <v>0</v>
      </c>
      <c r="Z303" s="113">
        <v>0</v>
      </c>
      <c r="AA303" s="169">
        <v>0</v>
      </c>
      <c r="AB303" s="113">
        <f>ROUND(AA303*Valores!$C$2,2)</f>
        <v>0</v>
      </c>
      <c r="AC303" s="113"/>
      <c r="AD303" s="113">
        <f>SUM(F303,H303,J303,L303,M303,N303,O303,P303,Q303,S303,T303,U303,W303,X303,Z303,AB303,AC303)*Valores!$C$58</f>
        <v>8296.6750000000011</v>
      </c>
      <c r="AE303" s="113">
        <f t="shared" si="49"/>
        <v>91263.425000000003</v>
      </c>
      <c r="AF303" s="113">
        <v>0</v>
      </c>
      <c r="AG303" s="113">
        <f>AE303*Valores!$C$60*Valores!$C$61</f>
        <v>0</v>
      </c>
      <c r="AH303" s="113">
        <f t="shared" si="45"/>
        <v>0</v>
      </c>
      <c r="AI303" s="113">
        <f>AE303*Valores!$C$39</f>
        <v>-10038.97675</v>
      </c>
      <c r="AJ303" s="113">
        <f>IF(AE303&lt;Valores!$E$40,-0.02,IF(AE303&lt;Valores!$F$40,-0.03,-0.04))*AE303</f>
        <v>-1825.2685000000001</v>
      </c>
      <c r="AK303" s="113">
        <f>AE303*Valores!$C$42</f>
        <v>-5019.4883749999999</v>
      </c>
      <c r="AL303" s="113">
        <v>0</v>
      </c>
      <c r="AM303" s="113">
        <v>0</v>
      </c>
      <c r="AN303" s="113">
        <f t="shared" si="50"/>
        <v>74379.691374999995</v>
      </c>
      <c r="AO303" s="113">
        <f t="shared" si="44"/>
        <v>-10038.97675</v>
      </c>
      <c r="AP303" s="113">
        <f t="shared" si="51"/>
        <v>-1825.2685000000001</v>
      </c>
      <c r="AQ303" s="113">
        <f>AE303*Valores!$C$43</f>
        <v>-2464.1124749999999</v>
      </c>
      <c r="AR303" s="113">
        <f>AE303*Valores!$C$44</f>
        <v>-273.79027500000001</v>
      </c>
      <c r="AS303" s="113">
        <f t="shared" si="46"/>
        <v>76661.277000000002</v>
      </c>
      <c r="AT303" s="113">
        <f>AE303*Valores!$C$46</f>
        <v>14602.148000000001</v>
      </c>
      <c r="AU303" s="113">
        <f>AE303*Valores!$C$47</f>
        <v>6388.4397500000005</v>
      </c>
      <c r="AV303" s="113">
        <f>AE303*Valores!$C$48</f>
        <v>912.63425000000007</v>
      </c>
      <c r="AW303" s="113">
        <f>AE303*Valores!$C$50</f>
        <v>3194.2198750000002</v>
      </c>
      <c r="AX303" s="113">
        <f>AE303*Valores!$C$52</f>
        <v>4928.2249499999998</v>
      </c>
      <c r="AY303" s="113">
        <f>AE303*Valores!$C$51</f>
        <v>547.58055000000002</v>
      </c>
      <c r="AZ303" s="114"/>
      <c r="BA303" s="114"/>
      <c r="BB303" s="111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00"/>
      <c r="FK303" s="100"/>
      <c r="FL303" s="100"/>
      <c r="FM303" s="100"/>
      <c r="FN303" s="100"/>
      <c r="FO303" s="100"/>
      <c r="FP303" s="100"/>
      <c r="FQ303" s="100"/>
      <c r="FR303" s="100"/>
      <c r="FS303" s="100"/>
      <c r="FT303" s="100"/>
      <c r="FU303" s="100"/>
      <c r="FV303" s="100"/>
      <c r="FW303" s="100"/>
      <c r="FX303" s="100"/>
      <c r="FY303" s="100"/>
      <c r="FZ303" s="100"/>
      <c r="GA303" s="100"/>
      <c r="GB303" s="100"/>
      <c r="GC303" s="100"/>
      <c r="GD303" s="100"/>
      <c r="GE303" s="100"/>
      <c r="GF303" s="100"/>
      <c r="GG303" s="100"/>
      <c r="GH303" s="100"/>
      <c r="GI303" s="100"/>
      <c r="GJ303" s="100"/>
      <c r="GK303" s="100"/>
      <c r="GL303" s="100"/>
      <c r="GM303" s="100"/>
      <c r="GN303" s="100"/>
      <c r="GO303" s="100"/>
      <c r="GP303" s="100"/>
      <c r="GQ303" s="100"/>
      <c r="GR303" s="100"/>
      <c r="GS303" s="100"/>
      <c r="GT303" s="100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0"/>
      <c r="HE303" s="100"/>
      <c r="HF303" s="100"/>
      <c r="HG303" s="100"/>
      <c r="HH303" s="100"/>
      <c r="HI303" s="100"/>
      <c r="HJ303" s="100"/>
      <c r="HK303" s="100"/>
      <c r="HL303" s="100"/>
      <c r="HM303" s="100"/>
      <c r="HN303" s="100"/>
      <c r="HO303" s="100"/>
      <c r="HP303" s="100"/>
      <c r="HQ303" s="100"/>
      <c r="HR303" s="100"/>
      <c r="HS303" s="100"/>
      <c r="HT303" s="100"/>
      <c r="HU303" s="100"/>
      <c r="HV303" s="100"/>
      <c r="HW303" s="100"/>
      <c r="HX303" s="100"/>
      <c r="HY303" s="100"/>
      <c r="HZ303" s="100"/>
      <c r="IA303" s="100"/>
      <c r="IB303" s="100"/>
      <c r="IC303" s="100"/>
      <c r="ID303" s="100"/>
      <c r="IE303" s="100"/>
      <c r="IF303" s="100"/>
      <c r="IG303" s="100"/>
      <c r="IH303" s="100"/>
      <c r="II303" s="100"/>
      <c r="IJ303" s="100"/>
      <c r="IK303" s="100"/>
      <c r="IL303" s="100"/>
      <c r="IM303" s="100"/>
      <c r="IN303" s="100"/>
      <c r="IO303" s="100"/>
      <c r="IP303" s="100"/>
      <c r="IQ303" s="100"/>
      <c r="IR303" s="100"/>
      <c r="IS303" s="100"/>
      <c r="IT303" s="100"/>
      <c r="IU303" s="100"/>
      <c r="IV303" s="100"/>
      <c r="IW303" s="100"/>
      <c r="IX303" s="100"/>
      <c r="IY303" s="100"/>
      <c r="IZ303" s="100"/>
      <c r="JA303" s="100"/>
      <c r="JB303" s="100"/>
      <c r="JC303" s="100"/>
      <c r="JD303" s="100"/>
      <c r="JE303" s="100"/>
      <c r="JF303" s="100"/>
      <c r="JG303" s="100"/>
      <c r="JH303" s="100"/>
      <c r="JI303" s="100"/>
      <c r="JJ303" s="100"/>
      <c r="JK303" s="100"/>
      <c r="JL303" s="100"/>
      <c r="JM303" s="100"/>
      <c r="JN303" s="100"/>
      <c r="JO303" s="100"/>
      <c r="JP303" s="100"/>
      <c r="JQ303" s="100"/>
      <c r="JR303" s="100"/>
      <c r="JS303" s="100"/>
      <c r="JT303" s="100"/>
      <c r="JU303" s="100"/>
      <c r="JV303" s="100"/>
      <c r="JW303" s="100"/>
      <c r="JX303" s="100"/>
      <c r="JY303" s="100"/>
      <c r="JZ303" s="100"/>
      <c r="KA303" s="100"/>
      <c r="KB303" s="100"/>
      <c r="KC303" s="100"/>
      <c r="KD303" s="100"/>
      <c r="KE303" s="100"/>
      <c r="KF303" s="100"/>
      <c r="KG303" s="100"/>
      <c r="KH303" s="100"/>
      <c r="KI303" s="100"/>
      <c r="KJ303" s="100"/>
      <c r="KK303" s="100"/>
      <c r="KL303" s="100"/>
      <c r="KM303" s="100"/>
      <c r="KN303" s="100"/>
      <c r="KO303" s="100"/>
      <c r="KP303" s="100"/>
      <c r="KQ303" s="100"/>
      <c r="KR303" s="100"/>
      <c r="KS303" s="100"/>
      <c r="KT303" s="100"/>
      <c r="KU303" s="100"/>
      <c r="KV303" s="100"/>
      <c r="KW303" s="100"/>
      <c r="KX303" s="100"/>
      <c r="KY303" s="100"/>
      <c r="KZ303" s="100"/>
      <c r="LA303" s="100"/>
      <c r="LB303" s="100"/>
      <c r="LC303" s="100"/>
      <c r="LD303" s="100"/>
      <c r="LE303" s="100"/>
      <c r="LF303" s="100"/>
      <c r="LG303" s="100"/>
      <c r="LH303" s="100"/>
      <c r="LI303" s="100"/>
      <c r="LJ303" s="100"/>
      <c r="LK303" s="100"/>
      <c r="LL303" s="100"/>
      <c r="LM303" s="100"/>
      <c r="LN303" s="100"/>
      <c r="LO303" s="100"/>
      <c r="LP303" s="100"/>
      <c r="LQ303" s="100"/>
      <c r="LR303" s="100"/>
      <c r="LS303" s="100"/>
      <c r="LT303" s="100"/>
      <c r="LU303" s="100"/>
      <c r="LV303" s="100"/>
      <c r="LW303" s="100"/>
      <c r="LX303" s="100"/>
      <c r="LY303" s="100"/>
      <c r="LZ303" s="100"/>
      <c r="MA303" s="100"/>
      <c r="MB303" s="100"/>
      <c r="MC303" s="100"/>
      <c r="MD303" s="100"/>
      <c r="ME303" s="100"/>
      <c r="MF303" s="100"/>
      <c r="MG303" s="100"/>
      <c r="MH303" s="100"/>
      <c r="MI303" s="100"/>
      <c r="MJ303" s="100"/>
      <c r="MK303" s="100"/>
      <c r="ML303" s="100"/>
      <c r="MM303" s="100"/>
      <c r="MN303" s="100"/>
      <c r="MO303" s="100"/>
      <c r="MP303" s="100"/>
      <c r="MQ303" s="100"/>
      <c r="MR303" s="100"/>
      <c r="MS303" s="100"/>
      <c r="MT303" s="100"/>
      <c r="MU303" s="100"/>
      <c r="MV303" s="100"/>
      <c r="MW303" s="100"/>
      <c r="MX303" s="100"/>
      <c r="MY303" s="100"/>
      <c r="MZ303" s="100"/>
      <c r="NA303" s="100"/>
      <c r="NB303" s="100"/>
      <c r="NC303" s="100"/>
      <c r="ND303" s="100"/>
      <c r="NE303" s="100"/>
      <c r="NF303" s="100"/>
      <c r="NG303" s="100"/>
      <c r="NH303" s="100"/>
      <c r="NI303" s="100"/>
      <c r="NJ303" s="100"/>
      <c r="NK303" s="100"/>
      <c r="NL303" s="100"/>
      <c r="NM303" s="100"/>
      <c r="NN303" s="100"/>
      <c r="NO303" s="100"/>
      <c r="NP303" s="100"/>
      <c r="NQ303" s="100"/>
      <c r="NR303" s="100"/>
      <c r="NS303" s="100"/>
      <c r="NT303" s="100"/>
      <c r="NU303" s="100"/>
      <c r="NV303" s="100"/>
      <c r="NW303" s="100"/>
      <c r="NX303" s="100"/>
      <c r="NY303" s="100"/>
      <c r="NZ303" s="100"/>
      <c r="OA303" s="100"/>
      <c r="OB303" s="100"/>
      <c r="OC303" s="100"/>
      <c r="OD303" s="100"/>
      <c r="OE303" s="100"/>
      <c r="OF303" s="100"/>
      <c r="OG303" s="100"/>
      <c r="OH303" s="100"/>
      <c r="OI303" s="100"/>
      <c r="OJ303" s="100"/>
      <c r="OK303" s="100"/>
      <c r="OL303" s="100"/>
      <c r="OM303" s="100"/>
      <c r="ON303" s="100"/>
      <c r="OO303" s="100"/>
      <c r="OP303" s="100"/>
      <c r="OQ303" s="100"/>
      <c r="OR303" s="100"/>
      <c r="OS303" s="100"/>
      <c r="OT303" s="100"/>
      <c r="OU303" s="100"/>
      <c r="OV303" s="100"/>
      <c r="OW303" s="100"/>
      <c r="OX303" s="100"/>
      <c r="OY303" s="100"/>
      <c r="OZ303" s="100"/>
      <c r="PA303" s="100"/>
      <c r="PB303" s="100"/>
      <c r="PC303" s="100"/>
      <c r="PD303" s="100"/>
      <c r="PE303" s="100"/>
      <c r="PF303" s="100"/>
      <c r="PG303" s="100"/>
      <c r="PH303" s="100"/>
      <c r="PI303" s="100"/>
      <c r="PJ303" s="100"/>
      <c r="PK303" s="100"/>
      <c r="PL303" s="100"/>
      <c r="PM303" s="100"/>
      <c r="PN303" s="100"/>
      <c r="PO303" s="100"/>
      <c r="PP303" s="100"/>
      <c r="PQ303" s="100"/>
      <c r="PR303" s="100"/>
      <c r="PS303" s="100"/>
      <c r="PT303" s="100"/>
      <c r="PU303" s="100"/>
      <c r="PV303" s="100"/>
      <c r="PW303" s="100"/>
      <c r="PX303" s="100"/>
      <c r="PY303" s="100"/>
      <c r="PZ303" s="100"/>
      <c r="QA303" s="100"/>
      <c r="QB303" s="100"/>
      <c r="QC303" s="100"/>
      <c r="QD303" s="100"/>
      <c r="QE303" s="100"/>
      <c r="QF303" s="100"/>
      <c r="QG303" s="100"/>
      <c r="QH303" s="100"/>
      <c r="QI303" s="100"/>
      <c r="QJ303" s="100"/>
      <c r="QK303" s="100"/>
      <c r="QL303" s="100"/>
      <c r="QM303" s="100"/>
      <c r="QN303" s="100"/>
      <c r="QO303" s="100"/>
      <c r="QP303" s="100"/>
      <c r="QQ303" s="100"/>
      <c r="QR303" s="100"/>
      <c r="QS303" s="100"/>
      <c r="QT303" s="100"/>
      <c r="QU303" s="100"/>
      <c r="QV303" s="100"/>
      <c r="QW303" s="100"/>
      <c r="QX303" s="100"/>
      <c r="QY303" s="100"/>
      <c r="QZ303" s="100"/>
      <c r="RA303" s="100"/>
      <c r="RB303" s="100"/>
      <c r="RC303" s="100"/>
      <c r="RD303" s="100"/>
      <c r="RE303" s="100"/>
      <c r="RF303" s="100"/>
      <c r="RG303" s="100"/>
      <c r="RH303" s="100"/>
      <c r="RI303" s="100"/>
      <c r="RJ303" s="100"/>
      <c r="RK303" s="100"/>
      <c r="RL303" s="100"/>
      <c r="RM303" s="100"/>
      <c r="RN303" s="100"/>
      <c r="RO303" s="100"/>
      <c r="RP303" s="100"/>
      <c r="RQ303" s="100"/>
      <c r="RR303" s="100"/>
      <c r="RS303" s="100"/>
      <c r="RT303" s="100"/>
      <c r="RU303" s="100"/>
      <c r="RV303" s="100"/>
      <c r="RW303" s="100"/>
      <c r="RX303" s="100"/>
      <c r="RY303" s="100"/>
      <c r="RZ303" s="100"/>
      <c r="SA303" s="100"/>
      <c r="SB303" s="100"/>
      <c r="SC303" s="100"/>
      <c r="SD303" s="100"/>
      <c r="SE303" s="100"/>
      <c r="SF303" s="100"/>
      <c r="SG303" s="100"/>
      <c r="SH303" s="100"/>
      <c r="SI303" s="100"/>
      <c r="SJ303" s="100"/>
      <c r="SK303" s="100"/>
      <c r="SL303" s="100"/>
      <c r="SM303" s="100"/>
      <c r="SN303" s="100"/>
      <c r="SO303" s="100"/>
      <c r="SP303" s="100"/>
      <c r="SQ303" s="100"/>
      <c r="SR303" s="100"/>
      <c r="SS303" s="100"/>
      <c r="ST303" s="100"/>
      <c r="SU303" s="100"/>
      <c r="SV303" s="100"/>
      <c r="SW303" s="100"/>
      <c r="SX303" s="100"/>
      <c r="SY303" s="100"/>
      <c r="SZ303" s="100"/>
      <c r="TA303" s="100"/>
      <c r="TB303" s="100"/>
      <c r="TC303" s="100"/>
      <c r="TD303" s="100"/>
      <c r="TE303" s="100"/>
      <c r="TF303" s="100"/>
      <c r="TG303" s="100"/>
      <c r="TH303" s="100"/>
      <c r="TI303" s="100"/>
      <c r="TJ303" s="100"/>
      <c r="TK303" s="100"/>
      <c r="TL303" s="100"/>
      <c r="TM303" s="100"/>
      <c r="TN303" s="100"/>
      <c r="TO303" s="100"/>
      <c r="TP303" s="100"/>
      <c r="TQ303" s="100"/>
      <c r="TR303" s="100"/>
      <c r="TS303" s="100"/>
      <c r="TT303" s="100"/>
      <c r="TU303" s="100"/>
      <c r="TV303" s="100"/>
      <c r="TW303" s="100"/>
      <c r="TX303" s="100"/>
      <c r="TY303" s="100"/>
      <c r="TZ303" s="100"/>
      <c r="UA303" s="100"/>
      <c r="UB303" s="100"/>
      <c r="UC303" s="100"/>
      <c r="UD303" s="100"/>
      <c r="UE303" s="100"/>
      <c r="UF303" s="100"/>
      <c r="UG303" s="100"/>
      <c r="UH303" s="100"/>
      <c r="UI303" s="100"/>
      <c r="UJ303" s="100"/>
      <c r="UK303" s="100"/>
      <c r="UL303" s="100"/>
      <c r="UM303" s="100"/>
      <c r="UN303" s="100"/>
      <c r="UO303" s="100"/>
      <c r="UP303" s="100"/>
      <c r="UQ303" s="100"/>
      <c r="UR303" s="100"/>
      <c r="US303" s="100"/>
      <c r="UT303" s="100"/>
      <c r="UU303" s="100"/>
      <c r="UV303" s="100"/>
      <c r="UW303" s="100"/>
      <c r="UX303" s="100"/>
      <c r="UY303" s="100"/>
      <c r="UZ303" s="100"/>
      <c r="VA303" s="100"/>
      <c r="VB303" s="100"/>
      <c r="VC303" s="100"/>
      <c r="VD303" s="100"/>
      <c r="VE303" s="100"/>
      <c r="VF303" s="100"/>
      <c r="VG303" s="100"/>
      <c r="VH303" s="100"/>
      <c r="VI303" s="100"/>
      <c r="VJ303" s="100"/>
      <c r="VK303" s="100"/>
      <c r="VL303" s="100"/>
      <c r="VM303" s="100"/>
      <c r="VN303" s="100"/>
      <c r="VO303" s="100"/>
      <c r="VP303" s="100"/>
      <c r="VQ303" s="100"/>
      <c r="VR303" s="100"/>
      <c r="VS303" s="100"/>
      <c r="VT303" s="100"/>
      <c r="VU303" s="100"/>
      <c r="VV303" s="100"/>
      <c r="VW303" s="100"/>
      <c r="VX303" s="100"/>
      <c r="VY303" s="100"/>
      <c r="VZ303" s="100"/>
      <c r="WA303" s="100"/>
      <c r="WB303" s="100"/>
      <c r="WC303" s="100"/>
      <c r="WD303" s="100"/>
      <c r="WE303" s="100"/>
      <c r="WF303" s="100"/>
      <c r="WG303" s="100"/>
      <c r="WH303" s="100"/>
      <c r="WI303" s="100"/>
      <c r="WJ303" s="100"/>
      <c r="WK303" s="100"/>
      <c r="WL303" s="100"/>
      <c r="WM303" s="100"/>
      <c r="WN303" s="100"/>
      <c r="WO303" s="100"/>
      <c r="WP303" s="100"/>
      <c r="WQ303" s="100"/>
      <c r="WR303" s="100"/>
      <c r="WS303" s="100"/>
      <c r="WT303" s="100"/>
      <c r="WU303" s="100"/>
      <c r="WV303" s="100"/>
      <c r="WW303" s="100"/>
      <c r="WX303" s="100"/>
      <c r="WY303" s="100"/>
      <c r="WZ303" s="100"/>
      <c r="XA303" s="100"/>
      <c r="XB303" s="100"/>
      <c r="XC303" s="100"/>
      <c r="XD303" s="100"/>
      <c r="XE303" s="100"/>
      <c r="XF303" s="100"/>
      <c r="XG303" s="100"/>
      <c r="XH303" s="100"/>
      <c r="XI303" s="100"/>
      <c r="XJ303" s="100"/>
      <c r="XK303" s="100"/>
      <c r="XL303" s="100"/>
      <c r="XM303" s="100"/>
      <c r="XN303" s="100"/>
      <c r="XO303" s="100"/>
      <c r="XP303" s="100"/>
      <c r="XQ303" s="100"/>
      <c r="XR303" s="100"/>
      <c r="XS303" s="100"/>
      <c r="XT303" s="100"/>
      <c r="XU303" s="100"/>
      <c r="XV303" s="100"/>
      <c r="XW303" s="100"/>
      <c r="XX303" s="100"/>
      <c r="XY303" s="100"/>
      <c r="XZ303" s="100"/>
      <c r="YA303" s="100"/>
      <c r="YB303" s="100"/>
      <c r="YC303" s="100"/>
      <c r="YD303" s="100"/>
      <c r="YE303" s="100"/>
      <c r="YF303" s="100"/>
      <c r="YG303" s="100"/>
      <c r="YH303" s="100"/>
      <c r="YI303" s="100"/>
      <c r="YJ303" s="100"/>
      <c r="YK303" s="100"/>
      <c r="YL303" s="100"/>
      <c r="YM303" s="100"/>
      <c r="YN303" s="100"/>
      <c r="YO303" s="100"/>
      <c r="YP303" s="100"/>
      <c r="YQ303" s="100"/>
      <c r="YR303" s="100"/>
      <c r="YS303" s="100"/>
      <c r="YT303" s="100"/>
      <c r="YU303" s="100"/>
      <c r="YV303" s="100"/>
      <c r="YW303" s="100"/>
      <c r="YX303" s="100"/>
      <c r="YY303" s="100"/>
      <c r="YZ303" s="100"/>
      <c r="ZA303" s="100"/>
      <c r="ZB303" s="100"/>
      <c r="ZC303" s="100"/>
      <c r="ZD303" s="100"/>
      <c r="ZE303" s="100"/>
      <c r="ZF303" s="100"/>
      <c r="ZG303" s="100"/>
      <c r="ZH303" s="100"/>
      <c r="ZI303" s="100"/>
      <c r="ZJ303" s="100"/>
      <c r="ZK303" s="100"/>
      <c r="ZL303" s="100"/>
      <c r="ZM303" s="100"/>
      <c r="ZN303" s="100"/>
      <c r="ZO303" s="100"/>
      <c r="ZP303" s="100"/>
      <c r="ZQ303" s="100"/>
      <c r="ZR303" s="100"/>
      <c r="ZS303" s="100"/>
      <c r="ZT303" s="100"/>
      <c r="ZU303" s="100"/>
      <c r="ZV303" s="100"/>
      <c r="ZW303" s="100"/>
      <c r="ZX303" s="100"/>
      <c r="ZY303" s="100"/>
      <c r="ZZ303" s="100"/>
      <c r="AAA303" s="100"/>
      <c r="AAB303" s="100"/>
      <c r="AAC303" s="100"/>
      <c r="AAD303" s="100"/>
      <c r="AAE303" s="100"/>
      <c r="AAF303" s="100"/>
      <c r="AAG303" s="100"/>
      <c r="AAH303" s="100"/>
      <c r="AAI303" s="100"/>
      <c r="AAJ303" s="100"/>
      <c r="AAK303" s="100"/>
      <c r="AAL303" s="100"/>
      <c r="AAM303" s="100"/>
      <c r="AAN303" s="100"/>
      <c r="AAO303" s="100"/>
      <c r="AAP303" s="100"/>
      <c r="AAQ303" s="100"/>
      <c r="AAR303" s="100"/>
      <c r="AAS303" s="100"/>
      <c r="AAT303" s="100"/>
      <c r="AAU303" s="100"/>
      <c r="AAV303" s="100"/>
      <c r="AAW303" s="100"/>
      <c r="AAX303" s="100"/>
      <c r="AAY303" s="100"/>
      <c r="AAZ303" s="100"/>
      <c r="ABA303" s="100"/>
      <c r="ABB303" s="100"/>
      <c r="ABC303" s="100"/>
      <c r="ABD303" s="100"/>
      <c r="ABE303" s="100"/>
      <c r="ABF303" s="100"/>
      <c r="ABG303" s="100"/>
      <c r="ABH303" s="100"/>
      <c r="ABI303" s="100"/>
      <c r="ABJ303" s="100"/>
      <c r="ABK303" s="100"/>
      <c r="ABL303" s="100"/>
      <c r="ABM303" s="100"/>
      <c r="ABN303" s="100"/>
      <c r="ABO303" s="100"/>
      <c r="ABP303" s="100"/>
      <c r="ABQ303" s="100"/>
      <c r="ABR303" s="100"/>
      <c r="ABS303" s="100"/>
      <c r="ABT303" s="100"/>
      <c r="ABU303" s="100"/>
      <c r="ABV303" s="100"/>
      <c r="ABW303" s="100"/>
      <c r="ABX303" s="100"/>
      <c r="ABY303" s="100"/>
      <c r="ABZ303" s="100"/>
      <c r="ACA303" s="100"/>
      <c r="ACB303" s="100"/>
      <c r="ACC303" s="100"/>
      <c r="ACD303" s="100"/>
      <c r="ACE303" s="100"/>
      <c r="ACF303" s="100"/>
      <c r="ACG303" s="100"/>
      <c r="ACH303" s="100"/>
      <c r="ACI303" s="100"/>
      <c r="ACJ303" s="100"/>
      <c r="ACK303" s="100"/>
      <c r="ACL303" s="100"/>
      <c r="ACM303" s="100"/>
      <c r="ACN303" s="100"/>
      <c r="ACO303" s="100"/>
      <c r="ACP303" s="100"/>
      <c r="ACQ303" s="100"/>
      <c r="ACR303" s="100"/>
      <c r="ACS303" s="100"/>
      <c r="ACT303" s="100"/>
      <c r="ACU303" s="100"/>
      <c r="ACV303" s="100"/>
      <c r="ACW303" s="100"/>
      <c r="ACX303" s="100"/>
      <c r="ACY303" s="100"/>
      <c r="ACZ303" s="100"/>
      <c r="ADA303" s="100"/>
      <c r="ADB303" s="100"/>
      <c r="ADC303" s="100"/>
      <c r="ADD303" s="100"/>
      <c r="ADE303" s="100"/>
      <c r="ADF303" s="100"/>
      <c r="ADG303" s="100"/>
      <c r="ADH303" s="100"/>
      <c r="ADI303" s="100"/>
      <c r="ADJ303" s="100"/>
      <c r="ADK303" s="100"/>
      <c r="ADL303" s="100"/>
      <c r="ADM303" s="100"/>
      <c r="ADN303" s="100"/>
      <c r="ADO303" s="100"/>
      <c r="ADP303" s="100"/>
      <c r="ADQ303" s="100"/>
      <c r="ADR303" s="100"/>
      <c r="ADS303" s="100"/>
      <c r="ADT303" s="100"/>
      <c r="ADU303" s="100"/>
      <c r="ADV303" s="100"/>
      <c r="ADW303" s="100"/>
      <c r="ADX303" s="100"/>
      <c r="ADY303" s="100"/>
      <c r="ADZ303" s="100"/>
      <c r="AEA303" s="100"/>
      <c r="AEB303" s="100"/>
      <c r="AEC303" s="100"/>
      <c r="AED303" s="100"/>
      <c r="AEE303" s="100"/>
      <c r="AEF303" s="100"/>
      <c r="AEG303" s="100"/>
      <c r="AEH303" s="100"/>
      <c r="AEI303" s="100"/>
      <c r="AEJ303" s="100"/>
      <c r="AEK303" s="100"/>
      <c r="AEL303" s="100"/>
      <c r="AEM303" s="100"/>
      <c r="AEN303" s="100"/>
      <c r="AEO303" s="100"/>
      <c r="AEP303" s="100"/>
      <c r="AEQ303" s="100"/>
      <c r="AER303" s="100"/>
      <c r="AES303" s="100"/>
      <c r="AET303" s="100"/>
      <c r="AEU303" s="100"/>
      <c r="AEV303" s="100"/>
      <c r="AEW303" s="100"/>
      <c r="AEX303" s="100"/>
      <c r="AEY303" s="100"/>
      <c r="AEZ303" s="100"/>
      <c r="AFA303" s="100"/>
      <c r="AFB303" s="100"/>
      <c r="AFC303" s="100"/>
      <c r="AFD303" s="100"/>
      <c r="AFE303" s="100"/>
      <c r="AFF303" s="100"/>
      <c r="AFG303" s="100"/>
      <c r="AFH303" s="100"/>
      <c r="AFI303" s="100"/>
      <c r="AFJ303" s="100"/>
      <c r="AFK303" s="100"/>
      <c r="AFL303" s="100"/>
      <c r="AFM303" s="100"/>
      <c r="AFN303" s="100"/>
      <c r="AFO303" s="100"/>
      <c r="AFP303" s="100"/>
      <c r="AFQ303" s="100"/>
      <c r="AFR303" s="100"/>
      <c r="AFS303" s="100"/>
      <c r="AFT303" s="100"/>
      <c r="AFU303" s="100"/>
      <c r="AFV303" s="100"/>
      <c r="AFW303" s="100"/>
      <c r="AFX303" s="100"/>
      <c r="AFY303" s="100"/>
      <c r="AFZ303" s="100"/>
      <c r="AGA303" s="100"/>
      <c r="AGB303" s="100"/>
      <c r="AGC303" s="100"/>
      <c r="AGD303" s="100"/>
      <c r="AGE303" s="100"/>
      <c r="AGF303" s="100"/>
      <c r="AGG303" s="100"/>
      <c r="AGH303" s="100"/>
      <c r="AGI303" s="100"/>
      <c r="AGJ303" s="100"/>
      <c r="AGK303" s="100"/>
      <c r="AGL303" s="100"/>
      <c r="AGM303" s="100"/>
      <c r="AGN303" s="100"/>
      <c r="AGO303" s="100"/>
      <c r="AGP303" s="100"/>
      <c r="AGQ303" s="100"/>
      <c r="AGR303" s="100"/>
      <c r="AGS303" s="100"/>
      <c r="AGT303" s="100"/>
      <c r="AGU303" s="100"/>
      <c r="AGV303" s="100"/>
      <c r="AGW303" s="100"/>
      <c r="AGX303" s="100"/>
      <c r="AGY303" s="100"/>
      <c r="AGZ303" s="100"/>
      <c r="AHA303" s="100"/>
      <c r="AHB303" s="100"/>
      <c r="AHC303" s="100"/>
      <c r="AHD303" s="100"/>
      <c r="AHE303" s="100"/>
      <c r="AHF303" s="100"/>
      <c r="AHG303" s="100"/>
      <c r="AHH303" s="100"/>
      <c r="AHI303" s="100"/>
      <c r="AHJ303" s="100"/>
      <c r="AHK303" s="100"/>
      <c r="AHL303" s="100"/>
      <c r="AHM303" s="100"/>
      <c r="AHN303" s="100"/>
      <c r="AHO303" s="100"/>
      <c r="AHP303" s="100"/>
      <c r="AHQ303" s="100"/>
      <c r="AHR303" s="100"/>
      <c r="AHS303" s="100"/>
      <c r="AHT303" s="100"/>
      <c r="AHU303" s="100"/>
      <c r="AHV303" s="100"/>
      <c r="AHW303" s="100"/>
      <c r="AHX303" s="100"/>
      <c r="AHY303" s="100"/>
      <c r="AHZ303" s="100"/>
      <c r="AIA303" s="100"/>
      <c r="AIB303" s="100"/>
      <c r="AIC303" s="100"/>
      <c r="AID303" s="100"/>
      <c r="AIE303" s="100"/>
      <c r="AIF303" s="100"/>
      <c r="AIG303" s="100"/>
      <c r="AIH303" s="100"/>
      <c r="AII303" s="100"/>
      <c r="AIJ303" s="100"/>
      <c r="AIK303" s="100"/>
      <c r="AIL303" s="100"/>
      <c r="AIM303" s="100"/>
      <c r="AIN303" s="100"/>
      <c r="AIO303" s="100"/>
      <c r="AIP303" s="100"/>
      <c r="AIQ303" s="100"/>
      <c r="AIR303" s="100"/>
      <c r="AIS303" s="100"/>
      <c r="AIT303" s="100"/>
      <c r="AIU303" s="100"/>
      <c r="AIV303" s="100"/>
      <c r="AIW303" s="100"/>
      <c r="AIX303" s="100"/>
      <c r="AIY303" s="100"/>
      <c r="AIZ303" s="100"/>
      <c r="AJA303" s="100"/>
      <c r="AJB303" s="100"/>
      <c r="AJC303" s="100"/>
      <c r="AJD303" s="100"/>
      <c r="AJE303" s="100"/>
      <c r="AJF303" s="100"/>
      <c r="AJG303" s="100"/>
      <c r="AJH303" s="100"/>
      <c r="AJI303" s="100"/>
      <c r="AJJ303" s="100"/>
      <c r="AJK303" s="100"/>
      <c r="AJL303" s="100"/>
      <c r="AJM303" s="100"/>
      <c r="AJN303" s="100"/>
      <c r="AJO303" s="100"/>
      <c r="AJP303" s="100"/>
      <c r="AJQ303" s="100"/>
      <c r="AJR303" s="100"/>
      <c r="AJS303" s="100"/>
      <c r="AJT303" s="100"/>
      <c r="AJU303" s="100"/>
      <c r="AJV303" s="100"/>
      <c r="AJW303" s="100"/>
      <c r="AJX303" s="100"/>
      <c r="AJY303" s="100"/>
      <c r="AJZ303" s="100"/>
      <c r="AKA303" s="100"/>
      <c r="AKB303" s="100"/>
      <c r="AKC303" s="100"/>
      <c r="AKD303" s="100"/>
      <c r="AKE303" s="100"/>
      <c r="AKF303" s="100"/>
      <c r="AKG303" s="100"/>
      <c r="AKH303" s="100"/>
      <c r="AKI303" s="100"/>
      <c r="AKJ303" s="100"/>
      <c r="AKK303" s="100"/>
      <c r="AKL303" s="100"/>
      <c r="AKM303" s="100"/>
      <c r="AKN303" s="100"/>
      <c r="AKO303" s="100"/>
      <c r="AKP303" s="100"/>
      <c r="AKQ303" s="100"/>
      <c r="AKR303" s="100"/>
      <c r="AKS303" s="100"/>
      <c r="AKT303" s="100"/>
      <c r="AKU303" s="100"/>
      <c r="AKV303" s="100"/>
      <c r="AKW303" s="100"/>
      <c r="AKX303" s="100"/>
      <c r="AKY303" s="100"/>
      <c r="AKZ303" s="100"/>
      <c r="ALA303" s="100"/>
      <c r="ALB303" s="100"/>
      <c r="ALC303" s="100"/>
      <c r="ALD303" s="100"/>
      <c r="ALE303" s="100"/>
      <c r="ALF303" s="100"/>
      <c r="ALG303" s="100"/>
      <c r="ALH303" s="100"/>
      <c r="ALI303" s="100"/>
      <c r="ALJ303" s="100"/>
      <c r="ALK303" s="100"/>
      <c r="ALL303" s="100"/>
      <c r="ALM303" s="100"/>
      <c r="ALN303" s="100"/>
      <c r="ALO303" s="100"/>
      <c r="ALP303" s="100"/>
      <c r="ALQ303" s="100"/>
      <c r="ALR303" s="100"/>
      <c r="ALS303" s="100"/>
      <c r="ALT303" s="100"/>
      <c r="ALU303" s="100"/>
      <c r="ALV303" s="100"/>
      <c r="ALW303" s="100"/>
      <c r="ALX303" s="100"/>
      <c r="ALY303" s="100"/>
      <c r="ALZ303" s="100"/>
      <c r="AMA303" s="100"/>
      <c r="AMB303" s="100"/>
      <c r="AMC303" s="100"/>
      <c r="AMD303" s="100"/>
    </row>
    <row r="304" spans="1:1018" s="127" customFormat="1" ht="11.25" customHeight="1" x14ac:dyDescent="0.15">
      <c r="A304" s="111"/>
      <c r="B304" s="126">
        <v>1</v>
      </c>
      <c r="C304" s="114">
        <v>297</v>
      </c>
      <c r="D304" s="115" t="s">
        <v>440</v>
      </c>
      <c r="E304" s="171">
        <v>300</v>
      </c>
      <c r="F304" s="113">
        <f>ROUND(E304*Valores!$C$2,2)</f>
        <v>29341.8</v>
      </c>
      <c r="G304" s="169">
        <v>0</v>
      </c>
      <c r="H304" s="113">
        <f>ROUND(G304*Valores!$C$2,2)</f>
        <v>0</v>
      </c>
      <c r="I304" s="169">
        <v>0</v>
      </c>
      <c r="J304" s="113">
        <f>ROUND(I304*Valores!$C$2,2)</f>
        <v>0</v>
      </c>
      <c r="K304" s="169">
        <v>0</v>
      </c>
      <c r="L304" s="113">
        <f>ROUND(K304*Valores!$C$2,2)</f>
        <v>0</v>
      </c>
      <c r="M304" s="113">
        <f>ROUND(IF($H$2=0,IF(AND(A304&lt;&gt;"13-930",A304&lt;&gt;"13-940"),(SUM(F304,H304,J304,L304,W304,S304,Q304)*Valores!$C$4),0),0),2)</f>
        <v>9519.25</v>
      </c>
      <c r="N304" s="113">
        <f t="shared" si="54"/>
        <v>0</v>
      </c>
      <c r="O304" s="113">
        <v>0</v>
      </c>
      <c r="P304" s="113">
        <v>0</v>
      </c>
      <c r="Q304" s="113">
        <f>IF($F$4="NO",Valores!$C$28*5,Valores!$C$28*5/2)</f>
        <v>8735.2000000000007</v>
      </c>
      <c r="R304" s="113">
        <v>0</v>
      </c>
      <c r="S304" s="113">
        <f t="shared" si="55"/>
        <v>0</v>
      </c>
      <c r="T304" s="113">
        <v>0</v>
      </c>
      <c r="U304" s="113">
        <v>0</v>
      </c>
      <c r="V304" s="169">
        <v>0</v>
      </c>
      <c r="W304" s="113">
        <f>ROUND(V304*Valores!$C$2,2)</f>
        <v>0</v>
      </c>
      <c r="X304" s="113">
        <v>0</v>
      </c>
      <c r="Y304" s="188">
        <v>0</v>
      </c>
      <c r="Z304" s="113">
        <v>0</v>
      </c>
      <c r="AA304" s="169">
        <v>0</v>
      </c>
      <c r="AB304" s="113">
        <f>ROUND(AA304*Valores!$C$2,2)</f>
        <v>0</v>
      </c>
      <c r="AC304" s="113"/>
      <c r="AD304" s="113">
        <f>SUM(F304,H304,J304,L304,M304,N304,O304,P304,Q304,S304,T304,U304,W304,X304,Z304,AB304,AC304)*Valores!$C$58</f>
        <v>4759.625</v>
      </c>
      <c r="AE304" s="113">
        <f t="shared" si="49"/>
        <v>52355.875</v>
      </c>
      <c r="AF304" s="113">
        <v>0</v>
      </c>
      <c r="AG304" s="113">
        <f>AE304*Valores!$C$60*Valores!$C$61</f>
        <v>0</v>
      </c>
      <c r="AH304" s="113">
        <f t="shared" si="45"/>
        <v>0</v>
      </c>
      <c r="AI304" s="113">
        <f>AE304*Valores!$C$39</f>
        <v>-5759.1462499999998</v>
      </c>
      <c r="AJ304" s="113">
        <f>IF(AE304&lt;Valores!$E$40,-0.02,IF(AE304&lt;Valores!$F$40,-0.03,-0.04))*AE304</f>
        <v>-1047.1175000000001</v>
      </c>
      <c r="AK304" s="113">
        <f>AE304*Valores!$C$42</f>
        <v>-2879.5731249999999</v>
      </c>
      <c r="AL304" s="113">
        <v>0</v>
      </c>
      <c r="AM304" s="113">
        <v>0</v>
      </c>
      <c r="AN304" s="113">
        <f t="shared" si="50"/>
        <v>42670.038124999999</v>
      </c>
      <c r="AO304" s="113">
        <f t="shared" si="44"/>
        <v>-5759.1462499999998</v>
      </c>
      <c r="AP304" s="113">
        <f t="shared" si="51"/>
        <v>-1047.1175000000001</v>
      </c>
      <c r="AQ304" s="113">
        <f>AE304*Valores!$C$43</f>
        <v>-1413.6086250000001</v>
      </c>
      <c r="AR304" s="113">
        <f>AE304*Valores!$C$44</f>
        <v>-157.06762499999999</v>
      </c>
      <c r="AS304" s="113">
        <f t="shared" si="46"/>
        <v>43978.934999999998</v>
      </c>
      <c r="AT304" s="113">
        <f>AE304*Valores!$C$46</f>
        <v>8376.94</v>
      </c>
      <c r="AU304" s="113">
        <f>AE304*Valores!$C$47</f>
        <v>3664.9112500000006</v>
      </c>
      <c r="AV304" s="113">
        <f>AE304*Valores!$C$48</f>
        <v>523.55875000000003</v>
      </c>
      <c r="AW304" s="113">
        <f>AE304*Valores!$C$50</f>
        <v>1832.4556250000003</v>
      </c>
      <c r="AX304" s="113">
        <f>AE304*Valores!$C$52</f>
        <v>2827.2172500000001</v>
      </c>
      <c r="AY304" s="113">
        <f>AE304*Valores!$C$51</f>
        <v>314.13524999999998</v>
      </c>
      <c r="AZ304" s="114"/>
      <c r="BA304" s="114"/>
      <c r="BB304" s="111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00"/>
      <c r="FK304" s="100"/>
      <c r="FL304" s="100"/>
      <c r="FM304" s="100"/>
      <c r="FN304" s="100"/>
      <c r="FO304" s="100"/>
      <c r="FP304" s="100"/>
      <c r="FQ304" s="100"/>
      <c r="FR304" s="100"/>
      <c r="FS304" s="100"/>
      <c r="FT304" s="100"/>
      <c r="FU304" s="100"/>
      <c r="FV304" s="100"/>
      <c r="FW304" s="100"/>
      <c r="FX304" s="100"/>
      <c r="FY304" s="100"/>
      <c r="FZ304" s="100"/>
      <c r="GA304" s="100"/>
      <c r="GB304" s="100"/>
      <c r="GC304" s="100"/>
      <c r="GD304" s="100"/>
      <c r="GE304" s="100"/>
      <c r="GF304" s="100"/>
      <c r="GG304" s="100"/>
      <c r="GH304" s="100"/>
      <c r="GI304" s="100"/>
      <c r="GJ304" s="100"/>
      <c r="GK304" s="100"/>
      <c r="GL304" s="100"/>
      <c r="GM304" s="100"/>
      <c r="GN304" s="100"/>
      <c r="GO304" s="100"/>
      <c r="GP304" s="100"/>
      <c r="GQ304" s="100"/>
      <c r="GR304" s="100"/>
      <c r="GS304" s="100"/>
      <c r="GT304" s="100"/>
      <c r="GU304" s="100"/>
      <c r="GV304" s="100"/>
      <c r="GW304" s="100"/>
      <c r="GX304" s="100"/>
      <c r="GY304" s="100"/>
      <c r="GZ304" s="100"/>
      <c r="HA304" s="100"/>
      <c r="HB304" s="100"/>
      <c r="HC304" s="100"/>
      <c r="HD304" s="100"/>
      <c r="HE304" s="100"/>
      <c r="HF304" s="100"/>
      <c r="HG304" s="100"/>
      <c r="HH304" s="100"/>
      <c r="HI304" s="100"/>
      <c r="HJ304" s="100"/>
      <c r="HK304" s="100"/>
      <c r="HL304" s="100"/>
      <c r="HM304" s="100"/>
      <c r="HN304" s="100"/>
      <c r="HO304" s="100"/>
      <c r="HP304" s="100"/>
      <c r="HQ304" s="100"/>
      <c r="HR304" s="100"/>
      <c r="HS304" s="100"/>
      <c r="HT304" s="100"/>
      <c r="HU304" s="100"/>
      <c r="HV304" s="100"/>
      <c r="HW304" s="100"/>
      <c r="HX304" s="100"/>
      <c r="HY304" s="100"/>
      <c r="HZ304" s="100"/>
      <c r="IA304" s="100"/>
      <c r="IB304" s="100"/>
      <c r="IC304" s="100"/>
      <c r="ID304" s="100"/>
      <c r="IE304" s="100"/>
      <c r="IF304" s="100"/>
      <c r="IG304" s="100"/>
      <c r="IH304" s="100"/>
      <c r="II304" s="100"/>
      <c r="IJ304" s="100"/>
      <c r="IK304" s="100"/>
      <c r="IL304" s="100"/>
      <c r="IM304" s="100"/>
      <c r="IN304" s="100"/>
      <c r="IO304" s="100"/>
      <c r="IP304" s="100"/>
      <c r="IQ304" s="100"/>
      <c r="IR304" s="100"/>
      <c r="IS304" s="100"/>
      <c r="IT304" s="100"/>
      <c r="IU304" s="100"/>
      <c r="IV304" s="100"/>
      <c r="IW304" s="100"/>
      <c r="IX304" s="100"/>
      <c r="IY304" s="100"/>
      <c r="IZ304" s="100"/>
      <c r="JA304" s="100"/>
      <c r="JB304" s="100"/>
      <c r="JC304" s="100"/>
      <c r="JD304" s="100"/>
      <c r="JE304" s="100"/>
      <c r="JF304" s="100"/>
      <c r="JG304" s="100"/>
      <c r="JH304" s="100"/>
      <c r="JI304" s="100"/>
      <c r="JJ304" s="100"/>
      <c r="JK304" s="100"/>
      <c r="JL304" s="100"/>
      <c r="JM304" s="100"/>
      <c r="JN304" s="100"/>
      <c r="JO304" s="100"/>
      <c r="JP304" s="100"/>
      <c r="JQ304" s="100"/>
      <c r="JR304" s="100"/>
      <c r="JS304" s="100"/>
      <c r="JT304" s="100"/>
      <c r="JU304" s="100"/>
      <c r="JV304" s="100"/>
      <c r="JW304" s="100"/>
      <c r="JX304" s="100"/>
      <c r="JY304" s="100"/>
      <c r="JZ304" s="100"/>
      <c r="KA304" s="100"/>
      <c r="KB304" s="100"/>
      <c r="KC304" s="100"/>
      <c r="KD304" s="100"/>
      <c r="KE304" s="100"/>
      <c r="KF304" s="100"/>
      <c r="KG304" s="100"/>
      <c r="KH304" s="100"/>
      <c r="KI304" s="100"/>
      <c r="KJ304" s="100"/>
      <c r="KK304" s="100"/>
      <c r="KL304" s="100"/>
      <c r="KM304" s="100"/>
      <c r="KN304" s="100"/>
      <c r="KO304" s="100"/>
      <c r="KP304" s="100"/>
      <c r="KQ304" s="100"/>
      <c r="KR304" s="100"/>
      <c r="KS304" s="100"/>
      <c r="KT304" s="100"/>
      <c r="KU304" s="100"/>
      <c r="KV304" s="100"/>
      <c r="KW304" s="100"/>
      <c r="KX304" s="100"/>
      <c r="KY304" s="100"/>
      <c r="KZ304" s="100"/>
      <c r="LA304" s="100"/>
      <c r="LB304" s="100"/>
      <c r="LC304" s="100"/>
      <c r="LD304" s="100"/>
      <c r="LE304" s="100"/>
      <c r="LF304" s="100"/>
      <c r="LG304" s="100"/>
      <c r="LH304" s="100"/>
      <c r="LI304" s="100"/>
      <c r="LJ304" s="100"/>
      <c r="LK304" s="100"/>
      <c r="LL304" s="100"/>
      <c r="LM304" s="100"/>
      <c r="LN304" s="100"/>
      <c r="LO304" s="100"/>
      <c r="LP304" s="100"/>
      <c r="LQ304" s="100"/>
      <c r="LR304" s="100"/>
      <c r="LS304" s="100"/>
      <c r="LT304" s="100"/>
      <c r="LU304" s="100"/>
      <c r="LV304" s="100"/>
      <c r="LW304" s="100"/>
      <c r="LX304" s="100"/>
      <c r="LY304" s="100"/>
      <c r="LZ304" s="100"/>
      <c r="MA304" s="100"/>
      <c r="MB304" s="100"/>
      <c r="MC304" s="100"/>
      <c r="MD304" s="100"/>
      <c r="ME304" s="100"/>
      <c r="MF304" s="100"/>
      <c r="MG304" s="100"/>
      <c r="MH304" s="100"/>
      <c r="MI304" s="100"/>
      <c r="MJ304" s="100"/>
      <c r="MK304" s="100"/>
      <c r="ML304" s="100"/>
      <c r="MM304" s="100"/>
      <c r="MN304" s="100"/>
      <c r="MO304" s="100"/>
      <c r="MP304" s="100"/>
      <c r="MQ304" s="100"/>
      <c r="MR304" s="100"/>
      <c r="MS304" s="100"/>
      <c r="MT304" s="100"/>
      <c r="MU304" s="100"/>
      <c r="MV304" s="100"/>
      <c r="MW304" s="100"/>
      <c r="MX304" s="100"/>
      <c r="MY304" s="100"/>
      <c r="MZ304" s="100"/>
      <c r="NA304" s="100"/>
      <c r="NB304" s="100"/>
      <c r="NC304" s="100"/>
      <c r="ND304" s="100"/>
      <c r="NE304" s="100"/>
      <c r="NF304" s="100"/>
      <c r="NG304" s="100"/>
      <c r="NH304" s="100"/>
      <c r="NI304" s="100"/>
      <c r="NJ304" s="100"/>
      <c r="NK304" s="100"/>
      <c r="NL304" s="100"/>
      <c r="NM304" s="100"/>
      <c r="NN304" s="100"/>
      <c r="NO304" s="100"/>
      <c r="NP304" s="100"/>
      <c r="NQ304" s="100"/>
      <c r="NR304" s="100"/>
      <c r="NS304" s="100"/>
      <c r="NT304" s="100"/>
      <c r="NU304" s="100"/>
      <c r="NV304" s="100"/>
      <c r="NW304" s="100"/>
      <c r="NX304" s="100"/>
      <c r="NY304" s="100"/>
      <c r="NZ304" s="100"/>
      <c r="OA304" s="100"/>
      <c r="OB304" s="100"/>
      <c r="OC304" s="100"/>
      <c r="OD304" s="100"/>
      <c r="OE304" s="100"/>
      <c r="OF304" s="100"/>
      <c r="OG304" s="100"/>
      <c r="OH304" s="100"/>
      <c r="OI304" s="100"/>
      <c r="OJ304" s="100"/>
      <c r="OK304" s="100"/>
      <c r="OL304" s="100"/>
      <c r="OM304" s="100"/>
      <c r="ON304" s="100"/>
      <c r="OO304" s="100"/>
      <c r="OP304" s="100"/>
      <c r="OQ304" s="100"/>
      <c r="OR304" s="100"/>
      <c r="OS304" s="100"/>
      <c r="OT304" s="100"/>
      <c r="OU304" s="100"/>
      <c r="OV304" s="100"/>
      <c r="OW304" s="100"/>
      <c r="OX304" s="100"/>
      <c r="OY304" s="100"/>
      <c r="OZ304" s="100"/>
      <c r="PA304" s="100"/>
      <c r="PB304" s="100"/>
      <c r="PC304" s="100"/>
      <c r="PD304" s="100"/>
      <c r="PE304" s="100"/>
      <c r="PF304" s="100"/>
      <c r="PG304" s="100"/>
      <c r="PH304" s="100"/>
      <c r="PI304" s="100"/>
      <c r="PJ304" s="100"/>
      <c r="PK304" s="100"/>
      <c r="PL304" s="100"/>
      <c r="PM304" s="100"/>
      <c r="PN304" s="100"/>
      <c r="PO304" s="100"/>
      <c r="PP304" s="100"/>
      <c r="PQ304" s="100"/>
      <c r="PR304" s="100"/>
      <c r="PS304" s="100"/>
      <c r="PT304" s="100"/>
      <c r="PU304" s="100"/>
      <c r="PV304" s="100"/>
      <c r="PW304" s="100"/>
      <c r="PX304" s="100"/>
      <c r="PY304" s="100"/>
      <c r="PZ304" s="100"/>
      <c r="QA304" s="100"/>
      <c r="QB304" s="100"/>
      <c r="QC304" s="100"/>
      <c r="QD304" s="100"/>
      <c r="QE304" s="100"/>
      <c r="QF304" s="100"/>
      <c r="QG304" s="100"/>
      <c r="QH304" s="100"/>
      <c r="QI304" s="100"/>
      <c r="QJ304" s="100"/>
      <c r="QK304" s="100"/>
      <c r="QL304" s="100"/>
      <c r="QM304" s="100"/>
      <c r="QN304" s="100"/>
      <c r="QO304" s="100"/>
      <c r="QP304" s="100"/>
      <c r="QQ304" s="100"/>
      <c r="QR304" s="100"/>
      <c r="QS304" s="100"/>
      <c r="QT304" s="100"/>
      <c r="QU304" s="100"/>
      <c r="QV304" s="100"/>
      <c r="QW304" s="100"/>
      <c r="QX304" s="100"/>
      <c r="QY304" s="100"/>
      <c r="QZ304" s="100"/>
      <c r="RA304" s="100"/>
      <c r="RB304" s="100"/>
      <c r="RC304" s="100"/>
      <c r="RD304" s="100"/>
      <c r="RE304" s="100"/>
      <c r="RF304" s="100"/>
      <c r="RG304" s="100"/>
      <c r="RH304" s="100"/>
      <c r="RI304" s="100"/>
      <c r="RJ304" s="100"/>
      <c r="RK304" s="100"/>
      <c r="RL304" s="100"/>
      <c r="RM304" s="100"/>
      <c r="RN304" s="100"/>
      <c r="RO304" s="100"/>
      <c r="RP304" s="100"/>
      <c r="RQ304" s="100"/>
      <c r="RR304" s="100"/>
      <c r="RS304" s="100"/>
      <c r="RT304" s="100"/>
      <c r="RU304" s="100"/>
      <c r="RV304" s="100"/>
      <c r="RW304" s="100"/>
      <c r="RX304" s="100"/>
      <c r="RY304" s="100"/>
      <c r="RZ304" s="100"/>
      <c r="SA304" s="100"/>
      <c r="SB304" s="100"/>
      <c r="SC304" s="100"/>
      <c r="SD304" s="100"/>
      <c r="SE304" s="100"/>
      <c r="SF304" s="100"/>
      <c r="SG304" s="100"/>
      <c r="SH304" s="100"/>
      <c r="SI304" s="100"/>
      <c r="SJ304" s="100"/>
      <c r="SK304" s="100"/>
      <c r="SL304" s="100"/>
      <c r="SM304" s="100"/>
      <c r="SN304" s="100"/>
      <c r="SO304" s="100"/>
      <c r="SP304" s="100"/>
      <c r="SQ304" s="100"/>
      <c r="SR304" s="100"/>
      <c r="SS304" s="100"/>
      <c r="ST304" s="100"/>
      <c r="SU304" s="100"/>
      <c r="SV304" s="100"/>
      <c r="SW304" s="100"/>
      <c r="SX304" s="100"/>
      <c r="SY304" s="100"/>
      <c r="SZ304" s="100"/>
      <c r="TA304" s="100"/>
      <c r="TB304" s="100"/>
      <c r="TC304" s="100"/>
      <c r="TD304" s="100"/>
      <c r="TE304" s="100"/>
      <c r="TF304" s="100"/>
      <c r="TG304" s="100"/>
      <c r="TH304" s="100"/>
      <c r="TI304" s="100"/>
      <c r="TJ304" s="100"/>
      <c r="TK304" s="100"/>
      <c r="TL304" s="100"/>
      <c r="TM304" s="100"/>
      <c r="TN304" s="100"/>
      <c r="TO304" s="100"/>
      <c r="TP304" s="100"/>
      <c r="TQ304" s="100"/>
      <c r="TR304" s="100"/>
      <c r="TS304" s="100"/>
      <c r="TT304" s="100"/>
      <c r="TU304" s="100"/>
      <c r="TV304" s="100"/>
      <c r="TW304" s="100"/>
      <c r="TX304" s="100"/>
      <c r="TY304" s="100"/>
      <c r="TZ304" s="100"/>
      <c r="UA304" s="100"/>
      <c r="UB304" s="100"/>
      <c r="UC304" s="100"/>
      <c r="UD304" s="100"/>
      <c r="UE304" s="100"/>
      <c r="UF304" s="100"/>
      <c r="UG304" s="100"/>
      <c r="UH304" s="100"/>
      <c r="UI304" s="100"/>
      <c r="UJ304" s="100"/>
      <c r="UK304" s="100"/>
      <c r="UL304" s="100"/>
      <c r="UM304" s="100"/>
      <c r="UN304" s="100"/>
      <c r="UO304" s="100"/>
      <c r="UP304" s="100"/>
      <c r="UQ304" s="100"/>
      <c r="UR304" s="100"/>
      <c r="US304" s="100"/>
      <c r="UT304" s="100"/>
      <c r="UU304" s="100"/>
      <c r="UV304" s="100"/>
      <c r="UW304" s="100"/>
      <c r="UX304" s="100"/>
      <c r="UY304" s="100"/>
      <c r="UZ304" s="100"/>
      <c r="VA304" s="100"/>
      <c r="VB304" s="100"/>
      <c r="VC304" s="100"/>
      <c r="VD304" s="100"/>
      <c r="VE304" s="100"/>
      <c r="VF304" s="100"/>
      <c r="VG304" s="100"/>
      <c r="VH304" s="100"/>
      <c r="VI304" s="100"/>
      <c r="VJ304" s="100"/>
      <c r="VK304" s="100"/>
      <c r="VL304" s="100"/>
      <c r="VM304" s="100"/>
      <c r="VN304" s="100"/>
      <c r="VO304" s="100"/>
      <c r="VP304" s="100"/>
      <c r="VQ304" s="100"/>
      <c r="VR304" s="100"/>
      <c r="VS304" s="100"/>
      <c r="VT304" s="100"/>
      <c r="VU304" s="100"/>
      <c r="VV304" s="100"/>
      <c r="VW304" s="100"/>
      <c r="VX304" s="100"/>
      <c r="VY304" s="100"/>
      <c r="VZ304" s="100"/>
      <c r="WA304" s="100"/>
      <c r="WB304" s="100"/>
      <c r="WC304" s="100"/>
      <c r="WD304" s="100"/>
      <c r="WE304" s="100"/>
      <c r="WF304" s="100"/>
      <c r="WG304" s="100"/>
      <c r="WH304" s="100"/>
      <c r="WI304" s="100"/>
      <c r="WJ304" s="100"/>
      <c r="WK304" s="100"/>
      <c r="WL304" s="100"/>
      <c r="WM304" s="100"/>
      <c r="WN304" s="100"/>
      <c r="WO304" s="100"/>
      <c r="WP304" s="100"/>
      <c r="WQ304" s="100"/>
      <c r="WR304" s="100"/>
      <c r="WS304" s="100"/>
      <c r="WT304" s="100"/>
      <c r="WU304" s="100"/>
      <c r="WV304" s="100"/>
      <c r="WW304" s="100"/>
      <c r="WX304" s="100"/>
      <c r="WY304" s="100"/>
      <c r="WZ304" s="100"/>
      <c r="XA304" s="100"/>
      <c r="XB304" s="100"/>
      <c r="XC304" s="100"/>
      <c r="XD304" s="100"/>
      <c r="XE304" s="100"/>
      <c r="XF304" s="100"/>
      <c r="XG304" s="100"/>
      <c r="XH304" s="100"/>
      <c r="XI304" s="100"/>
      <c r="XJ304" s="100"/>
      <c r="XK304" s="100"/>
      <c r="XL304" s="100"/>
      <c r="XM304" s="100"/>
      <c r="XN304" s="100"/>
      <c r="XO304" s="100"/>
      <c r="XP304" s="100"/>
      <c r="XQ304" s="100"/>
      <c r="XR304" s="100"/>
      <c r="XS304" s="100"/>
      <c r="XT304" s="100"/>
      <c r="XU304" s="100"/>
      <c r="XV304" s="100"/>
      <c r="XW304" s="100"/>
      <c r="XX304" s="100"/>
      <c r="XY304" s="100"/>
      <c r="XZ304" s="100"/>
      <c r="YA304" s="100"/>
      <c r="YB304" s="100"/>
      <c r="YC304" s="100"/>
      <c r="YD304" s="100"/>
      <c r="YE304" s="100"/>
      <c r="YF304" s="100"/>
      <c r="YG304" s="100"/>
      <c r="YH304" s="100"/>
      <c r="YI304" s="100"/>
      <c r="YJ304" s="100"/>
      <c r="YK304" s="100"/>
      <c r="YL304" s="100"/>
      <c r="YM304" s="100"/>
      <c r="YN304" s="100"/>
      <c r="YO304" s="100"/>
      <c r="YP304" s="100"/>
      <c r="YQ304" s="100"/>
      <c r="YR304" s="100"/>
      <c r="YS304" s="100"/>
      <c r="YT304" s="100"/>
      <c r="YU304" s="100"/>
      <c r="YV304" s="100"/>
      <c r="YW304" s="100"/>
      <c r="YX304" s="100"/>
      <c r="YY304" s="100"/>
      <c r="YZ304" s="100"/>
      <c r="ZA304" s="100"/>
      <c r="ZB304" s="100"/>
      <c r="ZC304" s="100"/>
      <c r="ZD304" s="100"/>
      <c r="ZE304" s="100"/>
      <c r="ZF304" s="100"/>
      <c r="ZG304" s="100"/>
      <c r="ZH304" s="100"/>
      <c r="ZI304" s="100"/>
      <c r="ZJ304" s="100"/>
      <c r="ZK304" s="100"/>
      <c r="ZL304" s="100"/>
      <c r="ZM304" s="100"/>
      <c r="ZN304" s="100"/>
      <c r="ZO304" s="100"/>
      <c r="ZP304" s="100"/>
      <c r="ZQ304" s="100"/>
      <c r="ZR304" s="100"/>
      <c r="ZS304" s="100"/>
      <c r="ZT304" s="100"/>
      <c r="ZU304" s="100"/>
      <c r="ZV304" s="100"/>
      <c r="ZW304" s="100"/>
      <c r="ZX304" s="100"/>
      <c r="ZY304" s="100"/>
      <c r="ZZ304" s="100"/>
      <c r="AAA304" s="100"/>
      <c r="AAB304" s="100"/>
      <c r="AAC304" s="100"/>
      <c r="AAD304" s="100"/>
      <c r="AAE304" s="100"/>
      <c r="AAF304" s="100"/>
      <c r="AAG304" s="100"/>
      <c r="AAH304" s="100"/>
      <c r="AAI304" s="100"/>
      <c r="AAJ304" s="100"/>
      <c r="AAK304" s="100"/>
      <c r="AAL304" s="100"/>
      <c r="AAM304" s="100"/>
      <c r="AAN304" s="100"/>
      <c r="AAO304" s="100"/>
      <c r="AAP304" s="100"/>
      <c r="AAQ304" s="100"/>
      <c r="AAR304" s="100"/>
      <c r="AAS304" s="100"/>
      <c r="AAT304" s="100"/>
      <c r="AAU304" s="100"/>
      <c r="AAV304" s="100"/>
      <c r="AAW304" s="100"/>
      <c r="AAX304" s="100"/>
      <c r="AAY304" s="100"/>
      <c r="AAZ304" s="100"/>
      <c r="ABA304" s="100"/>
      <c r="ABB304" s="100"/>
      <c r="ABC304" s="100"/>
      <c r="ABD304" s="100"/>
      <c r="ABE304" s="100"/>
      <c r="ABF304" s="100"/>
      <c r="ABG304" s="100"/>
      <c r="ABH304" s="100"/>
      <c r="ABI304" s="100"/>
      <c r="ABJ304" s="100"/>
      <c r="ABK304" s="100"/>
      <c r="ABL304" s="100"/>
      <c r="ABM304" s="100"/>
      <c r="ABN304" s="100"/>
      <c r="ABO304" s="100"/>
      <c r="ABP304" s="100"/>
      <c r="ABQ304" s="100"/>
      <c r="ABR304" s="100"/>
      <c r="ABS304" s="100"/>
      <c r="ABT304" s="100"/>
      <c r="ABU304" s="100"/>
      <c r="ABV304" s="100"/>
      <c r="ABW304" s="100"/>
      <c r="ABX304" s="100"/>
      <c r="ABY304" s="100"/>
      <c r="ABZ304" s="100"/>
      <c r="ACA304" s="100"/>
      <c r="ACB304" s="100"/>
      <c r="ACC304" s="100"/>
      <c r="ACD304" s="100"/>
      <c r="ACE304" s="100"/>
      <c r="ACF304" s="100"/>
      <c r="ACG304" s="100"/>
      <c r="ACH304" s="100"/>
      <c r="ACI304" s="100"/>
      <c r="ACJ304" s="100"/>
      <c r="ACK304" s="100"/>
      <c r="ACL304" s="100"/>
      <c r="ACM304" s="100"/>
      <c r="ACN304" s="100"/>
      <c r="ACO304" s="100"/>
      <c r="ACP304" s="100"/>
      <c r="ACQ304" s="100"/>
      <c r="ACR304" s="100"/>
      <c r="ACS304" s="100"/>
      <c r="ACT304" s="100"/>
      <c r="ACU304" s="100"/>
      <c r="ACV304" s="100"/>
      <c r="ACW304" s="100"/>
      <c r="ACX304" s="100"/>
      <c r="ACY304" s="100"/>
      <c r="ACZ304" s="100"/>
      <c r="ADA304" s="100"/>
      <c r="ADB304" s="100"/>
      <c r="ADC304" s="100"/>
      <c r="ADD304" s="100"/>
      <c r="ADE304" s="100"/>
      <c r="ADF304" s="100"/>
      <c r="ADG304" s="100"/>
      <c r="ADH304" s="100"/>
      <c r="ADI304" s="100"/>
      <c r="ADJ304" s="100"/>
      <c r="ADK304" s="100"/>
      <c r="ADL304" s="100"/>
      <c r="ADM304" s="100"/>
      <c r="ADN304" s="100"/>
      <c r="ADO304" s="100"/>
      <c r="ADP304" s="100"/>
      <c r="ADQ304" s="100"/>
      <c r="ADR304" s="100"/>
      <c r="ADS304" s="100"/>
      <c r="ADT304" s="100"/>
      <c r="ADU304" s="100"/>
      <c r="ADV304" s="100"/>
      <c r="ADW304" s="100"/>
      <c r="ADX304" s="100"/>
      <c r="ADY304" s="100"/>
      <c r="ADZ304" s="100"/>
      <c r="AEA304" s="100"/>
      <c r="AEB304" s="100"/>
      <c r="AEC304" s="100"/>
      <c r="AED304" s="100"/>
      <c r="AEE304" s="100"/>
      <c r="AEF304" s="100"/>
      <c r="AEG304" s="100"/>
      <c r="AEH304" s="100"/>
      <c r="AEI304" s="100"/>
      <c r="AEJ304" s="100"/>
      <c r="AEK304" s="100"/>
      <c r="AEL304" s="100"/>
      <c r="AEM304" s="100"/>
      <c r="AEN304" s="100"/>
      <c r="AEO304" s="100"/>
      <c r="AEP304" s="100"/>
      <c r="AEQ304" s="100"/>
      <c r="AER304" s="100"/>
      <c r="AES304" s="100"/>
      <c r="AET304" s="100"/>
      <c r="AEU304" s="100"/>
      <c r="AEV304" s="100"/>
      <c r="AEW304" s="100"/>
      <c r="AEX304" s="100"/>
      <c r="AEY304" s="100"/>
      <c r="AEZ304" s="100"/>
      <c r="AFA304" s="100"/>
      <c r="AFB304" s="100"/>
      <c r="AFC304" s="100"/>
      <c r="AFD304" s="100"/>
      <c r="AFE304" s="100"/>
      <c r="AFF304" s="100"/>
      <c r="AFG304" s="100"/>
      <c r="AFH304" s="100"/>
      <c r="AFI304" s="100"/>
      <c r="AFJ304" s="100"/>
      <c r="AFK304" s="100"/>
      <c r="AFL304" s="100"/>
      <c r="AFM304" s="100"/>
      <c r="AFN304" s="100"/>
      <c r="AFO304" s="100"/>
      <c r="AFP304" s="100"/>
      <c r="AFQ304" s="100"/>
      <c r="AFR304" s="100"/>
      <c r="AFS304" s="100"/>
      <c r="AFT304" s="100"/>
      <c r="AFU304" s="100"/>
      <c r="AFV304" s="100"/>
      <c r="AFW304" s="100"/>
      <c r="AFX304" s="100"/>
      <c r="AFY304" s="100"/>
      <c r="AFZ304" s="100"/>
      <c r="AGA304" s="100"/>
      <c r="AGB304" s="100"/>
      <c r="AGC304" s="100"/>
      <c r="AGD304" s="100"/>
      <c r="AGE304" s="100"/>
      <c r="AGF304" s="100"/>
      <c r="AGG304" s="100"/>
      <c r="AGH304" s="100"/>
      <c r="AGI304" s="100"/>
      <c r="AGJ304" s="100"/>
      <c r="AGK304" s="100"/>
      <c r="AGL304" s="100"/>
      <c r="AGM304" s="100"/>
      <c r="AGN304" s="100"/>
      <c r="AGO304" s="100"/>
      <c r="AGP304" s="100"/>
      <c r="AGQ304" s="100"/>
      <c r="AGR304" s="100"/>
      <c r="AGS304" s="100"/>
      <c r="AGT304" s="100"/>
      <c r="AGU304" s="100"/>
      <c r="AGV304" s="100"/>
      <c r="AGW304" s="100"/>
      <c r="AGX304" s="100"/>
      <c r="AGY304" s="100"/>
      <c r="AGZ304" s="100"/>
      <c r="AHA304" s="100"/>
      <c r="AHB304" s="100"/>
      <c r="AHC304" s="100"/>
      <c r="AHD304" s="100"/>
      <c r="AHE304" s="100"/>
      <c r="AHF304" s="100"/>
      <c r="AHG304" s="100"/>
      <c r="AHH304" s="100"/>
      <c r="AHI304" s="100"/>
      <c r="AHJ304" s="100"/>
      <c r="AHK304" s="100"/>
      <c r="AHL304" s="100"/>
      <c r="AHM304" s="100"/>
      <c r="AHN304" s="100"/>
      <c r="AHO304" s="100"/>
      <c r="AHP304" s="100"/>
      <c r="AHQ304" s="100"/>
      <c r="AHR304" s="100"/>
      <c r="AHS304" s="100"/>
      <c r="AHT304" s="100"/>
      <c r="AHU304" s="100"/>
      <c r="AHV304" s="100"/>
      <c r="AHW304" s="100"/>
      <c r="AHX304" s="100"/>
      <c r="AHY304" s="100"/>
      <c r="AHZ304" s="100"/>
      <c r="AIA304" s="100"/>
      <c r="AIB304" s="100"/>
      <c r="AIC304" s="100"/>
      <c r="AID304" s="100"/>
      <c r="AIE304" s="100"/>
      <c r="AIF304" s="100"/>
      <c r="AIG304" s="100"/>
      <c r="AIH304" s="100"/>
      <c r="AII304" s="100"/>
      <c r="AIJ304" s="100"/>
      <c r="AIK304" s="100"/>
      <c r="AIL304" s="100"/>
      <c r="AIM304" s="100"/>
      <c r="AIN304" s="100"/>
      <c r="AIO304" s="100"/>
      <c r="AIP304" s="100"/>
      <c r="AIQ304" s="100"/>
      <c r="AIR304" s="100"/>
      <c r="AIS304" s="100"/>
      <c r="AIT304" s="100"/>
      <c r="AIU304" s="100"/>
      <c r="AIV304" s="100"/>
      <c r="AIW304" s="100"/>
      <c r="AIX304" s="100"/>
      <c r="AIY304" s="100"/>
      <c r="AIZ304" s="100"/>
      <c r="AJA304" s="100"/>
      <c r="AJB304" s="100"/>
      <c r="AJC304" s="100"/>
      <c r="AJD304" s="100"/>
      <c r="AJE304" s="100"/>
      <c r="AJF304" s="100"/>
      <c r="AJG304" s="100"/>
      <c r="AJH304" s="100"/>
      <c r="AJI304" s="100"/>
      <c r="AJJ304" s="100"/>
      <c r="AJK304" s="100"/>
      <c r="AJL304" s="100"/>
      <c r="AJM304" s="100"/>
      <c r="AJN304" s="100"/>
      <c r="AJO304" s="100"/>
      <c r="AJP304" s="100"/>
      <c r="AJQ304" s="100"/>
      <c r="AJR304" s="100"/>
      <c r="AJS304" s="100"/>
      <c r="AJT304" s="100"/>
      <c r="AJU304" s="100"/>
      <c r="AJV304" s="100"/>
      <c r="AJW304" s="100"/>
      <c r="AJX304" s="100"/>
      <c r="AJY304" s="100"/>
      <c r="AJZ304" s="100"/>
      <c r="AKA304" s="100"/>
      <c r="AKB304" s="100"/>
      <c r="AKC304" s="100"/>
      <c r="AKD304" s="100"/>
      <c r="AKE304" s="100"/>
      <c r="AKF304" s="100"/>
      <c r="AKG304" s="100"/>
      <c r="AKH304" s="100"/>
      <c r="AKI304" s="100"/>
      <c r="AKJ304" s="100"/>
      <c r="AKK304" s="100"/>
      <c r="AKL304" s="100"/>
      <c r="AKM304" s="100"/>
      <c r="AKN304" s="100"/>
      <c r="AKO304" s="100"/>
      <c r="AKP304" s="100"/>
      <c r="AKQ304" s="100"/>
      <c r="AKR304" s="100"/>
      <c r="AKS304" s="100"/>
      <c r="AKT304" s="100"/>
      <c r="AKU304" s="100"/>
      <c r="AKV304" s="100"/>
      <c r="AKW304" s="100"/>
      <c r="AKX304" s="100"/>
      <c r="AKY304" s="100"/>
      <c r="AKZ304" s="100"/>
      <c r="ALA304" s="100"/>
      <c r="ALB304" s="100"/>
      <c r="ALC304" s="100"/>
      <c r="ALD304" s="100"/>
      <c r="ALE304" s="100"/>
      <c r="ALF304" s="100"/>
      <c r="ALG304" s="100"/>
      <c r="ALH304" s="100"/>
      <c r="ALI304" s="100"/>
      <c r="ALJ304" s="100"/>
      <c r="ALK304" s="100"/>
      <c r="ALL304" s="100"/>
      <c r="ALM304" s="100"/>
      <c r="ALN304" s="100"/>
      <c r="ALO304" s="100"/>
      <c r="ALP304" s="100"/>
      <c r="ALQ304" s="100"/>
      <c r="ALR304" s="100"/>
      <c r="ALS304" s="100"/>
      <c r="ALT304" s="100"/>
      <c r="ALU304" s="100"/>
      <c r="ALV304" s="100"/>
      <c r="ALW304" s="100"/>
      <c r="ALX304" s="100"/>
      <c r="ALY304" s="100"/>
      <c r="ALZ304" s="100"/>
      <c r="AMA304" s="100"/>
      <c r="AMB304" s="100"/>
      <c r="AMC304" s="100"/>
      <c r="AMD304" s="100"/>
    </row>
    <row r="305" spans="1:1018" s="127" customFormat="1" ht="11.25" customHeight="1" x14ac:dyDescent="0.15">
      <c r="A305" s="114"/>
      <c r="B305" s="126">
        <v>1</v>
      </c>
      <c r="C305" s="114">
        <v>298</v>
      </c>
      <c r="D305" s="115" t="s">
        <v>441</v>
      </c>
      <c r="E305" s="171">
        <v>155</v>
      </c>
      <c r="F305" s="113">
        <f>ROUND(E305*Valores!$C$2,2)</f>
        <v>15159.93</v>
      </c>
      <c r="G305" s="169">
        <v>0</v>
      </c>
      <c r="H305" s="113">
        <f>ROUND(G305*Valores!$C$2,2)</f>
        <v>0</v>
      </c>
      <c r="I305" s="169">
        <v>0</v>
      </c>
      <c r="J305" s="113">
        <f>ROUND(I305*Valores!$C$2,2)</f>
        <v>0</v>
      </c>
      <c r="K305" s="169">
        <v>0</v>
      </c>
      <c r="L305" s="113">
        <f>ROUND(K305*Valores!$C$2,2)</f>
        <v>0</v>
      </c>
      <c r="M305" s="113">
        <f>ROUND(IF($H$2=0,IF(AND(A305&lt;&gt;"13-930",A305&lt;&gt;"13-940"),(SUM(F305,H305,J305,L305,W305,S305,Q305)*Valores!$C$4),0),0),2)</f>
        <v>4226.74</v>
      </c>
      <c r="N305" s="113">
        <f t="shared" si="54"/>
        <v>0</v>
      </c>
      <c r="O305" s="113">
        <v>0</v>
      </c>
      <c r="P305" s="113">
        <v>0</v>
      </c>
      <c r="Q305" s="113">
        <f>IF($F$4="NO",IF(Valores!$C$28*B305&gt;Valores!$C$25,Valores!$C$25,Valores!$C$28*B305),IF(Valores!$C$28*B305&gt;Valores!$C$25,Valores!$C$25,Valores!$C$28*B305)/2)</f>
        <v>1747.04</v>
      </c>
      <c r="R305" s="113">
        <v>0</v>
      </c>
      <c r="S305" s="113">
        <f t="shared" si="55"/>
        <v>0</v>
      </c>
      <c r="T305" s="113">
        <v>0</v>
      </c>
      <c r="U305" s="113">
        <v>0</v>
      </c>
      <c r="V305" s="169">
        <v>0</v>
      </c>
      <c r="W305" s="113">
        <f>ROUND(V305*Valores!$C$2,2)</f>
        <v>0</v>
      </c>
      <c r="X305" s="113">
        <v>0</v>
      </c>
      <c r="Y305" s="188">
        <v>0</v>
      </c>
      <c r="Z305" s="113">
        <v>0</v>
      </c>
      <c r="AA305" s="169">
        <v>0</v>
      </c>
      <c r="AB305" s="113">
        <f>ROUND(AA305*Valores!$C$2,2)</f>
        <v>0</v>
      </c>
      <c r="AC305" s="113"/>
      <c r="AD305" s="113">
        <f>SUM(F305,H305,J305,L305,M305,N305,O305,P305,Q305,S305,T305,U305,W305,X305,Z305,AB305,AC305)*Valores!$C$58</f>
        <v>2113.3710000000001</v>
      </c>
      <c r="AE305" s="113">
        <f t="shared" si="49"/>
        <v>23247.080999999998</v>
      </c>
      <c r="AF305" s="113">
        <v>0</v>
      </c>
      <c r="AG305" s="113">
        <f>AE305*Valores!$C$60*Valores!$C$61</f>
        <v>0</v>
      </c>
      <c r="AH305" s="113">
        <f t="shared" si="45"/>
        <v>0</v>
      </c>
      <c r="AI305" s="113">
        <f>AE305*Valores!$C$39</f>
        <v>-2557.1789099999996</v>
      </c>
      <c r="AJ305" s="113">
        <f>IF(AE305&lt;Valores!$E$40,-0.02,IF(AE305&lt;Valores!$F$40,-0.03,-0.04))*AE305</f>
        <v>-464.94162</v>
      </c>
      <c r="AK305" s="113">
        <f>AE305*Valores!$C$42</f>
        <v>-1278.5894549999998</v>
      </c>
      <c r="AL305" s="113">
        <v>0</v>
      </c>
      <c r="AM305" s="113">
        <v>0</v>
      </c>
      <c r="AN305" s="113">
        <f t="shared" si="50"/>
        <v>18946.371014999997</v>
      </c>
      <c r="AO305" s="113">
        <f t="shared" si="44"/>
        <v>-2557.1789099999996</v>
      </c>
      <c r="AP305" s="113">
        <f t="shared" si="51"/>
        <v>-464.94162</v>
      </c>
      <c r="AQ305" s="113">
        <f>AE305*Valores!$C$43</f>
        <v>-627.67118699999992</v>
      </c>
      <c r="AR305" s="113">
        <f>AE305*Valores!$C$44</f>
        <v>-69.741242999999997</v>
      </c>
      <c r="AS305" s="113">
        <f t="shared" si="46"/>
        <v>19527.548039999998</v>
      </c>
      <c r="AT305" s="113">
        <f>AE305*Valores!$C$46</f>
        <v>3719.53296</v>
      </c>
      <c r="AU305" s="113">
        <f>AE305*Valores!$C$47</f>
        <v>1627.29567</v>
      </c>
      <c r="AV305" s="113">
        <f>AE305*Valores!$C$48</f>
        <v>232.47081</v>
      </c>
      <c r="AW305" s="113">
        <f>AE305*Valores!$C$50</f>
        <v>813.64783499999999</v>
      </c>
      <c r="AX305" s="113">
        <f>AE305*Valores!$C$52</f>
        <v>1255.3423739999998</v>
      </c>
      <c r="AY305" s="113">
        <f>AE305*Valores!$C$51</f>
        <v>139.48248599999999</v>
      </c>
      <c r="AZ305" s="114"/>
      <c r="BA305" s="114"/>
      <c r="BB305" s="111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  <c r="EO305" s="100"/>
      <c r="EP305" s="100"/>
      <c r="EQ305" s="100"/>
      <c r="ER305" s="100"/>
      <c r="ES305" s="100"/>
      <c r="ET305" s="100"/>
      <c r="EU305" s="100"/>
      <c r="EV305" s="100"/>
      <c r="EW305" s="100"/>
      <c r="EX305" s="100"/>
      <c r="EY305" s="100"/>
      <c r="EZ305" s="100"/>
      <c r="FA305" s="100"/>
      <c r="FB305" s="100"/>
      <c r="FC305" s="100"/>
      <c r="FD305" s="100"/>
      <c r="FE305" s="100"/>
      <c r="FF305" s="100"/>
      <c r="FG305" s="100"/>
      <c r="FH305" s="100"/>
      <c r="FI305" s="100"/>
      <c r="FJ305" s="100"/>
      <c r="FK305" s="100"/>
      <c r="FL305" s="100"/>
      <c r="FM305" s="100"/>
      <c r="FN305" s="100"/>
      <c r="FO305" s="100"/>
      <c r="FP305" s="100"/>
      <c r="FQ305" s="100"/>
      <c r="FR305" s="100"/>
      <c r="FS305" s="100"/>
      <c r="FT305" s="100"/>
      <c r="FU305" s="100"/>
      <c r="FV305" s="100"/>
      <c r="FW305" s="100"/>
      <c r="FX305" s="100"/>
      <c r="FY305" s="100"/>
      <c r="FZ305" s="100"/>
      <c r="GA305" s="100"/>
      <c r="GB305" s="100"/>
      <c r="GC305" s="100"/>
      <c r="GD305" s="100"/>
      <c r="GE305" s="100"/>
      <c r="GF305" s="100"/>
      <c r="GG305" s="100"/>
      <c r="GH305" s="100"/>
      <c r="GI305" s="100"/>
      <c r="GJ305" s="100"/>
      <c r="GK305" s="100"/>
      <c r="GL305" s="100"/>
      <c r="GM305" s="100"/>
      <c r="GN305" s="100"/>
      <c r="GO305" s="100"/>
      <c r="GP305" s="100"/>
      <c r="GQ305" s="100"/>
      <c r="GR305" s="100"/>
      <c r="GS305" s="100"/>
      <c r="GT305" s="100"/>
      <c r="GU305" s="100"/>
      <c r="GV305" s="100"/>
      <c r="GW305" s="100"/>
      <c r="GX305" s="100"/>
      <c r="GY305" s="100"/>
      <c r="GZ305" s="100"/>
      <c r="HA305" s="100"/>
      <c r="HB305" s="100"/>
      <c r="HC305" s="100"/>
      <c r="HD305" s="100"/>
      <c r="HE305" s="100"/>
      <c r="HF305" s="100"/>
      <c r="HG305" s="100"/>
      <c r="HH305" s="100"/>
      <c r="HI305" s="100"/>
      <c r="HJ305" s="100"/>
      <c r="HK305" s="100"/>
      <c r="HL305" s="100"/>
      <c r="HM305" s="100"/>
      <c r="HN305" s="100"/>
      <c r="HO305" s="100"/>
      <c r="HP305" s="100"/>
      <c r="HQ305" s="100"/>
      <c r="HR305" s="100"/>
      <c r="HS305" s="100"/>
      <c r="HT305" s="100"/>
      <c r="HU305" s="100"/>
      <c r="HV305" s="100"/>
      <c r="HW305" s="100"/>
      <c r="HX305" s="100"/>
      <c r="HY305" s="100"/>
      <c r="HZ305" s="100"/>
      <c r="IA305" s="100"/>
      <c r="IB305" s="100"/>
      <c r="IC305" s="100"/>
      <c r="ID305" s="100"/>
      <c r="IE305" s="100"/>
      <c r="IF305" s="100"/>
      <c r="IG305" s="100"/>
      <c r="IH305" s="100"/>
      <c r="II305" s="100"/>
      <c r="IJ305" s="100"/>
      <c r="IK305" s="100"/>
      <c r="IL305" s="100"/>
      <c r="IM305" s="100"/>
      <c r="IN305" s="100"/>
      <c r="IO305" s="100"/>
      <c r="IP305" s="100"/>
      <c r="IQ305" s="100"/>
      <c r="IR305" s="100"/>
      <c r="IS305" s="100"/>
      <c r="IT305" s="100"/>
      <c r="IU305" s="100"/>
      <c r="IV305" s="100"/>
      <c r="IW305" s="100"/>
      <c r="IX305" s="100"/>
      <c r="IY305" s="100"/>
      <c r="IZ305" s="100"/>
      <c r="JA305" s="100"/>
      <c r="JB305" s="100"/>
      <c r="JC305" s="100"/>
      <c r="JD305" s="100"/>
      <c r="JE305" s="100"/>
      <c r="JF305" s="100"/>
      <c r="JG305" s="100"/>
      <c r="JH305" s="100"/>
      <c r="JI305" s="100"/>
      <c r="JJ305" s="100"/>
      <c r="JK305" s="100"/>
      <c r="JL305" s="100"/>
      <c r="JM305" s="100"/>
      <c r="JN305" s="100"/>
      <c r="JO305" s="100"/>
      <c r="JP305" s="100"/>
      <c r="JQ305" s="100"/>
      <c r="JR305" s="100"/>
      <c r="JS305" s="100"/>
      <c r="JT305" s="100"/>
      <c r="JU305" s="100"/>
      <c r="JV305" s="100"/>
      <c r="JW305" s="100"/>
      <c r="JX305" s="100"/>
      <c r="JY305" s="100"/>
      <c r="JZ305" s="100"/>
      <c r="KA305" s="100"/>
      <c r="KB305" s="100"/>
      <c r="KC305" s="100"/>
      <c r="KD305" s="100"/>
      <c r="KE305" s="100"/>
      <c r="KF305" s="100"/>
      <c r="KG305" s="100"/>
      <c r="KH305" s="100"/>
      <c r="KI305" s="100"/>
      <c r="KJ305" s="100"/>
      <c r="KK305" s="100"/>
      <c r="KL305" s="100"/>
      <c r="KM305" s="100"/>
      <c r="KN305" s="100"/>
      <c r="KO305" s="100"/>
      <c r="KP305" s="100"/>
      <c r="KQ305" s="100"/>
      <c r="KR305" s="100"/>
      <c r="KS305" s="100"/>
      <c r="KT305" s="100"/>
      <c r="KU305" s="100"/>
      <c r="KV305" s="100"/>
      <c r="KW305" s="100"/>
      <c r="KX305" s="100"/>
      <c r="KY305" s="100"/>
      <c r="KZ305" s="100"/>
      <c r="LA305" s="100"/>
      <c r="LB305" s="100"/>
      <c r="LC305" s="100"/>
      <c r="LD305" s="100"/>
      <c r="LE305" s="100"/>
      <c r="LF305" s="100"/>
      <c r="LG305" s="100"/>
      <c r="LH305" s="100"/>
      <c r="LI305" s="100"/>
      <c r="LJ305" s="100"/>
      <c r="LK305" s="100"/>
      <c r="LL305" s="100"/>
      <c r="LM305" s="100"/>
      <c r="LN305" s="100"/>
      <c r="LO305" s="100"/>
      <c r="LP305" s="100"/>
      <c r="LQ305" s="100"/>
      <c r="LR305" s="100"/>
      <c r="LS305" s="100"/>
      <c r="LT305" s="100"/>
      <c r="LU305" s="100"/>
      <c r="LV305" s="100"/>
      <c r="LW305" s="100"/>
      <c r="LX305" s="100"/>
      <c r="LY305" s="100"/>
      <c r="LZ305" s="100"/>
      <c r="MA305" s="100"/>
      <c r="MB305" s="100"/>
      <c r="MC305" s="100"/>
      <c r="MD305" s="100"/>
      <c r="ME305" s="100"/>
      <c r="MF305" s="100"/>
      <c r="MG305" s="100"/>
      <c r="MH305" s="100"/>
      <c r="MI305" s="100"/>
      <c r="MJ305" s="100"/>
      <c r="MK305" s="100"/>
      <c r="ML305" s="100"/>
      <c r="MM305" s="100"/>
      <c r="MN305" s="100"/>
      <c r="MO305" s="100"/>
      <c r="MP305" s="100"/>
      <c r="MQ305" s="100"/>
      <c r="MR305" s="100"/>
      <c r="MS305" s="100"/>
      <c r="MT305" s="100"/>
      <c r="MU305" s="100"/>
      <c r="MV305" s="100"/>
      <c r="MW305" s="100"/>
      <c r="MX305" s="100"/>
      <c r="MY305" s="100"/>
      <c r="MZ305" s="100"/>
      <c r="NA305" s="100"/>
      <c r="NB305" s="100"/>
      <c r="NC305" s="100"/>
      <c r="ND305" s="100"/>
      <c r="NE305" s="100"/>
      <c r="NF305" s="100"/>
      <c r="NG305" s="100"/>
      <c r="NH305" s="100"/>
      <c r="NI305" s="100"/>
      <c r="NJ305" s="100"/>
      <c r="NK305" s="100"/>
      <c r="NL305" s="100"/>
      <c r="NM305" s="100"/>
      <c r="NN305" s="100"/>
      <c r="NO305" s="100"/>
      <c r="NP305" s="100"/>
      <c r="NQ305" s="100"/>
      <c r="NR305" s="100"/>
      <c r="NS305" s="100"/>
      <c r="NT305" s="100"/>
      <c r="NU305" s="100"/>
      <c r="NV305" s="100"/>
      <c r="NW305" s="100"/>
      <c r="NX305" s="100"/>
      <c r="NY305" s="100"/>
      <c r="NZ305" s="100"/>
      <c r="OA305" s="100"/>
      <c r="OB305" s="100"/>
      <c r="OC305" s="100"/>
      <c r="OD305" s="100"/>
      <c r="OE305" s="100"/>
      <c r="OF305" s="100"/>
      <c r="OG305" s="100"/>
      <c r="OH305" s="100"/>
      <c r="OI305" s="100"/>
      <c r="OJ305" s="100"/>
      <c r="OK305" s="100"/>
      <c r="OL305" s="100"/>
      <c r="OM305" s="100"/>
      <c r="ON305" s="100"/>
      <c r="OO305" s="100"/>
      <c r="OP305" s="100"/>
      <c r="OQ305" s="100"/>
      <c r="OR305" s="100"/>
      <c r="OS305" s="100"/>
      <c r="OT305" s="100"/>
      <c r="OU305" s="100"/>
      <c r="OV305" s="100"/>
      <c r="OW305" s="100"/>
      <c r="OX305" s="100"/>
      <c r="OY305" s="100"/>
      <c r="OZ305" s="100"/>
      <c r="PA305" s="100"/>
      <c r="PB305" s="100"/>
      <c r="PC305" s="100"/>
      <c r="PD305" s="100"/>
      <c r="PE305" s="100"/>
      <c r="PF305" s="100"/>
      <c r="PG305" s="100"/>
      <c r="PH305" s="100"/>
      <c r="PI305" s="100"/>
      <c r="PJ305" s="100"/>
      <c r="PK305" s="100"/>
      <c r="PL305" s="100"/>
      <c r="PM305" s="100"/>
      <c r="PN305" s="100"/>
      <c r="PO305" s="100"/>
      <c r="PP305" s="100"/>
      <c r="PQ305" s="100"/>
      <c r="PR305" s="100"/>
      <c r="PS305" s="100"/>
      <c r="PT305" s="100"/>
      <c r="PU305" s="100"/>
      <c r="PV305" s="100"/>
      <c r="PW305" s="100"/>
      <c r="PX305" s="100"/>
      <c r="PY305" s="100"/>
      <c r="PZ305" s="100"/>
      <c r="QA305" s="100"/>
      <c r="QB305" s="100"/>
      <c r="QC305" s="100"/>
      <c r="QD305" s="100"/>
      <c r="QE305" s="100"/>
      <c r="QF305" s="100"/>
      <c r="QG305" s="100"/>
      <c r="QH305" s="100"/>
      <c r="QI305" s="100"/>
      <c r="QJ305" s="100"/>
      <c r="QK305" s="100"/>
      <c r="QL305" s="100"/>
      <c r="QM305" s="100"/>
      <c r="QN305" s="100"/>
      <c r="QO305" s="100"/>
      <c r="QP305" s="100"/>
      <c r="QQ305" s="100"/>
      <c r="QR305" s="100"/>
      <c r="QS305" s="100"/>
      <c r="QT305" s="100"/>
      <c r="QU305" s="100"/>
      <c r="QV305" s="100"/>
      <c r="QW305" s="100"/>
      <c r="QX305" s="100"/>
      <c r="QY305" s="100"/>
      <c r="QZ305" s="100"/>
      <c r="RA305" s="100"/>
      <c r="RB305" s="100"/>
      <c r="RC305" s="100"/>
      <c r="RD305" s="100"/>
      <c r="RE305" s="100"/>
      <c r="RF305" s="100"/>
      <c r="RG305" s="100"/>
      <c r="RH305" s="100"/>
      <c r="RI305" s="100"/>
      <c r="RJ305" s="100"/>
      <c r="RK305" s="100"/>
      <c r="RL305" s="100"/>
      <c r="RM305" s="100"/>
      <c r="RN305" s="100"/>
      <c r="RO305" s="100"/>
      <c r="RP305" s="100"/>
      <c r="RQ305" s="100"/>
      <c r="RR305" s="100"/>
      <c r="RS305" s="100"/>
      <c r="RT305" s="100"/>
      <c r="RU305" s="100"/>
      <c r="RV305" s="100"/>
      <c r="RW305" s="100"/>
      <c r="RX305" s="100"/>
      <c r="RY305" s="100"/>
      <c r="RZ305" s="100"/>
      <c r="SA305" s="100"/>
      <c r="SB305" s="100"/>
      <c r="SC305" s="100"/>
      <c r="SD305" s="100"/>
      <c r="SE305" s="100"/>
      <c r="SF305" s="100"/>
      <c r="SG305" s="100"/>
      <c r="SH305" s="100"/>
      <c r="SI305" s="100"/>
      <c r="SJ305" s="100"/>
      <c r="SK305" s="100"/>
      <c r="SL305" s="100"/>
      <c r="SM305" s="100"/>
      <c r="SN305" s="100"/>
      <c r="SO305" s="100"/>
      <c r="SP305" s="100"/>
      <c r="SQ305" s="100"/>
      <c r="SR305" s="100"/>
      <c r="SS305" s="100"/>
      <c r="ST305" s="100"/>
      <c r="SU305" s="100"/>
      <c r="SV305" s="100"/>
      <c r="SW305" s="100"/>
      <c r="SX305" s="100"/>
      <c r="SY305" s="100"/>
      <c r="SZ305" s="100"/>
      <c r="TA305" s="100"/>
      <c r="TB305" s="100"/>
      <c r="TC305" s="100"/>
      <c r="TD305" s="100"/>
      <c r="TE305" s="100"/>
      <c r="TF305" s="100"/>
      <c r="TG305" s="100"/>
      <c r="TH305" s="100"/>
      <c r="TI305" s="100"/>
      <c r="TJ305" s="100"/>
      <c r="TK305" s="100"/>
      <c r="TL305" s="100"/>
      <c r="TM305" s="100"/>
      <c r="TN305" s="100"/>
      <c r="TO305" s="100"/>
      <c r="TP305" s="100"/>
      <c r="TQ305" s="100"/>
      <c r="TR305" s="100"/>
      <c r="TS305" s="100"/>
      <c r="TT305" s="100"/>
      <c r="TU305" s="100"/>
      <c r="TV305" s="100"/>
      <c r="TW305" s="100"/>
      <c r="TX305" s="100"/>
      <c r="TY305" s="100"/>
      <c r="TZ305" s="100"/>
      <c r="UA305" s="100"/>
      <c r="UB305" s="100"/>
      <c r="UC305" s="100"/>
      <c r="UD305" s="100"/>
      <c r="UE305" s="100"/>
      <c r="UF305" s="100"/>
      <c r="UG305" s="100"/>
      <c r="UH305" s="100"/>
      <c r="UI305" s="100"/>
      <c r="UJ305" s="100"/>
      <c r="UK305" s="100"/>
      <c r="UL305" s="100"/>
      <c r="UM305" s="100"/>
      <c r="UN305" s="100"/>
      <c r="UO305" s="100"/>
      <c r="UP305" s="100"/>
      <c r="UQ305" s="100"/>
      <c r="UR305" s="100"/>
      <c r="US305" s="100"/>
      <c r="UT305" s="100"/>
      <c r="UU305" s="100"/>
      <c r="UV305" s="100"/>
      <c r="UW305" s="100"/>
      <c r="UX305" s="100"/>
      <c r="UY305" s="100"/>
      <c r="UZ305" s="100"/>
      <c r="VA305" s="100"/>
      <c r="VB305" s="100"/>
      <c r="VC305" s="100"/>
      <c r="VD305" s="100"/>
      <c r="VE305" s="100"/>
      <c r="VF305" s="100"/>
      <c r="VG305" s="100"/>
      <c r="VH305" s="100"/>
      <c r="VI305" s="100"/>
      <c r="VJ305" s="100"/>
      <c r="VK305" s="100"/>
      <c r="VL305" s="100"/>
      <c r="VM305" s="100"/>
      <c r="VN305" s="100"/>
      <c r="VO305" s="100"/>
      <c r="VP305" s="100"/>
      <c r="VQ305" s="100"/>
      <c r="VR305" s="100"/>
      <c r="VS305" s="100"/>
      <c r="VT305" s="100"/>
      <c r="VU305" s="100"/>
      <c r="VV305" s="100"/>
      <c r="VW305" s="100"/>
      <c r="VX305" s="100"/>
      <c r="VY305" s="100"/>
      <c r="VZ305" s="100"/>
      <c r="WA305" s="100"/>
      <c r="WB305" s="100"/>
      <c r="WC305" s="100"/>
      <c r="WD305" s="100"/>
      <c r="WE305" s="100"/>
      <c r="WF305" s="100"/>
      <c r="WG305" s="100"/>
      <c r="WH305" s="100"/>
      <c r="WI305" s="100"/>
      <c r="WJ305" s="100"/>
      <c r="WK305" s="100"/>
      <c r="WL305" s="100"/>
      <c r="WM305" s="100"/>
      <c r="WN305" s="100"/>
      <c r="WO305" s="100"/>
      <c r="WP305" s="100"/>
      <c r="WQ305" s="100"/>
      <c r="WR305" s="100"/>
      <c r="WS305" s="100"/>
      <c r="WT305" s="100"/>
      <c r="WU305" s="100"/>
      <c r="WV305" s="100"/>
      <c r="WW305" s="100"/>
      <c r="WX305" s="100"/>
      <c r="WY305" s="100"/>
      <c r="WZ305" s="100"/>
      <c r="XA305" s="100"/>
      <c r="XB305" s="100"/>
      <c r="XC305" s="100"/>
      <c r="XD305" s="100"/>
      <c r="XE305" s="100"/>
      <c r="XF305" s="100"/>
      <c r="XG305" s="100"/>
      <c r="XH305" s="100"/>
      <c r="XI305" s="100"/>
      <c r="XJ305" s="100"/>
      <c r="XK305" s="100"/>
      <c r="XL305" s="100"/>
      <c r="XM305" s="100"/>
      <c r="XN305" s="100"/>
      <c r="XO305" s="100"/>
      <c r="XP305" s="100"/>
      <c r="XQ305" s="100"/>
      <c r="XR305" s="100"/>
      <c r="XS305" s="100"/>
      <c r="XT305" s="100"/>
      <c r="XU305" s="100"/>
      <c r="XV305" s="100"/>
      <c r="XW305" s="100"/>
      <c r="XX305" s="100"/>
      <c r="XY305" s="100"/>
      <c r="XZ305" s="100"/>
      <c r="YA305" s="100"/>
      <c r="YB305" s="100"/>
      <c r="YC305" s="100"/>
      <c r="YD305" s="100"/>
      <c r="YE305" s="100"/>
      <c r="YF305" s="100"/>
      <c r="YG305" s="100"/>
      <c r="YH305" s="100"/>
      <c r="YI305" s="100"/>
      <c r="YJ305" s="100"/>
      <c r="YK305" s="100"/>
      <c r="YL305" s="100"/>
      <c r="YM305" s="100"/>
      <c r="YN305" s="100"/>
      <c r="YO305" s="100"/>
      <c r="YP305" s="100"/>
      <c r="YQ305" s="100"/>
      <c r="YR305" s="100"/>
      <c r="YS305" s="100"/>
      <c r="YT305" s="100"/>
      <c r="YU305" s="100"/>
      <c r="YV305" s="100"/>
      <c r="YW305" s="100"/>
      <c r="YX305" s="100"/>
      <c r="YY305" s="100"/>
      <c r="YZ305" s="100"/>
      <c r="ZA305" s="100"/>
      <c r="ZB305" s="100"/>
      <c r="ZC305" s="100"/>
      <c r="ZD305" s="100"/>
      <c r="ZE305" s="100"/>
      <c r="ZF305" s="100"/>
      <c r="ZG305" s="100"/>
      <c r="ZH305" s="100"/>
      <c r="ZI305" s="100"/>
      <c r="ZJ305" s="100"/>
      <c r="ZK305" s="100"/>
      <c r="ZL305" s="100"/>
      <c r="ZM305" s="100"/>
      <c r="ZN305" s="100"/>
      <c r="ZO305" s="100"/>
      <c r="ZP305" s="100"/>
      <c r="ZQ305" s="100"/>
      <c r="ZR305" s="100"/>
      <c r="ZS305" s="100"/>
      <c r="ZT305" s="100"/>
      <c r="ZU305" s="100"/>
      <c r="ZV305" s="100"/>
      <c r="ZW305" s="100"/>
      <c r="ZX305" s="100"/>
      <c r="ZY305" s="100"/>
      <c r="ZZ305" s="100"/>
      <c r="AAA305" s="100"/>
      <c r="AAB305" s="100"/>
      <c r="AAC305" s="100"/>
      <c r="AAD305" s="100"/>
      <c r="AAE305" s="100"/>
      <c r="AAF305" s="100"/>
      <c r="AAG305" s="100"/>
      <c r="AAH305" s="100"/>
      <c r="AAI305" s="100"/>
      <c r="AAJ305" s="100"/>
      <c r="AAK305" s="100"/>
      <c r="AAL305" s="100"/>
      <c r="AAM305" s="100"/>
      <c r="AAN305" s="100"/>
      <c r="AAO305" s="100"/>
      <c r="AAP305" s="100"/>
      <c r="AAQ305" s="100"/>
      <c r="AAR305" s="100"/>
      <c r="AAS305" s="100"/>
      <c r="AAT305" s="100"/>
      <c r="AAU305" s="100"/>
      <c r="AAV305" s="100"/>
      <c r="AAW305" s="100"/>
      <c r="AAX305" s="100"/>
      <c r="AAY305" s="100"/>
      <c r="AAZ305" s="100"/>
      <c r="ABA305" s="100"/>
      <c r="ABB305" s="100"/>
      <c r="ABC305" s="100"/>
      <c r="ABD305" s="100"/>
      <c r="ABE305" s="100"/>
      <c r="ABF305" s="100"/>
      <c r="ABG305" s="100"/>
      <c r="ABH305" s="100"/>
      <c r="ABI305" s="100"/>
      <c r="ABJ305" s="100"/>
      <c r="ABK305" s="100"/>
      <c r="ABL305" s="100"/>
      <c r="ABM305" s="100"/>
      <c r="ABN305" s="100"/>
      <c r="ABO305" s="100"/>
      <c r="ABP305" s="100"/>
      <c r="ABQ305" s="100"/>
      <c r="ABR305" s="100"/>
      <c r="ABS305" s="100"/>
      <c r="ABT305" s="100"/>
      <c r="ABU305" s="100"/>
      <c r="ABV305" s="100"/>
      <c r="ABW305" s="100"/>
      <c r="ABX305" s="100"/>
      <c r="ABY305" s="100"/>
      <c r="ABZ305" s="100"/>
      <c r="ACA305" s="100"/>
      <c r="ACB305" s="100"/>
      <c r="ACC305" s="100"/>
      <c r="ACD305" s="100"/>
      <c r="ACE305" s="100"/>
      <c r="ACF305" s="100"/>
      <c r="ACG305" s="100"/>
      <c r="ACH305" s="100"/>
      <c r="ACI305" s="100"/>
      <c r="ACJ305" s="100"/>
      <c r="ACK305" s="100"/>
      <c r="ACL305" s="100"/>
      <c r="ACM305" s="100"/>
      <c r="ACN305" s="100"/>
      <c r="ACO305" s="100"/>
      <c r="ACP305" s="100"/>
      <c r="ACQ305" s="100"/>
      <c r="ACR305" s="100"/>
      <c r="ACS305" s="100"/>
      <c r="ACT305" s="100"/>
      <c r="ACU305" s="100"/>
      <c r="ACV305" s="100"/>
      <c r="ACW305" s="100"/>
      <c r="ACX305" s="100"/>
      <c r="ACY305" s="100"/>
      <c r="ACZ305" s="100"/>
      <c r="ADA305" s="100"/>
      <c r="ADB305" s="100"/>
      <c r="ADC305" s="100"/>
      <c r="ADD305" s="100"/>
      <c r="ADE305" s="100"/>
      <c r="ADF305" s="100"/>
      <c r="ADG305" s="100"/>
      <c r="ADH305" s="100"/>
      <c r="ADI305" s="100"/>
      <c r="ADJ305" s="100"/>
      <c r="ADK305" s="100"/>
      <c r="ADL305" s="100"/>
      <c r="ADM305" s="100"/>
      <c r="ADN305" s="100"/>
      <c r="ADO305" s="100"/>
      <c r="ADP305" s="100"/>
      <c r="ADQ305" s="100"/>
      <c r="ADR305" s="100"/>
      <c r="ADS305" s="100"/>
      <c r="ADT305" s="100"/>
      <c r="ADU305" s="100"/>
      <c r="ADV305" s="100"/>
      <c r="ADW305" s="100"/>
      <c r="ADX305" s="100"/>
      <c r="ADY305" s="100"/>
      <c r="ADZ305" s="100"/>
      <c r="AEA305" s="100"/>
      <c r="AEB305" s="100"/>
      <c r="AEC305" s="100"/>
      <c r="AED305" s="100"/>
      <c r="AEE305" s="100"/>
      <c r="AEF305" s="100"/>
      <c r="AEG305" s="100"/>
      <c r="AEH305" s="100"/>
      <c r="AEI305" s="100"/>
      <c r="AEJ305" s="100"/>
      <c r="AEK305" s="100"/>
      <c r="AEL305" s="100"/>
      <c r="AEM305" s="100"/>
      <c r="AEN305" s="100"/>
      <c r="AEO305" s="100"/>
      <c r="AEP305" s="100"/>
      <c r="AEQ305" s="100"/>
      <c r="AER305" s="100"/>
      <c r="AES305" s="100"/>
      <c r="AET305" s="100"/>
      <c r="AEU305" s="100"/>
      <c r="AEV305" s="100"/>
      <c r="AEW305" s="100"/>
      <c r="AEX305" s="100"/>
      <c r="AEY305" s="100"/>
      <c r="AEZ305" s="100"/>
      <c r="AFA305" s="100"/>
      <c r="AFB305" s="100"/>
      <c r="AFC305" s="100"/>
      <c r="AFD305" s="100"/>
      <c r="AFE305" s="100"/>
      <c r="AFF305" s="100"/>
      <c r="AFG305" s="100"/>
      <c r="AFH305" s="100"/>
      <c r="AFI305" s="100"/>
      <c r="AFJ305" s="100"/>
      <c r="AFK305" s="100"/>
      <c r="AFL305" s="100"/>
      <c r="AFM305" s="100"/>
      <c r="AFN305" s="100"/>
      <c r="AFO305" s="100"/>
      <c r="AFP305" s="100"/>
      <c r="AFQ305" s="100"/>
      <c r="AFR305" s="100"/>
      <c r="AFS305" s="100"/>
      <c r="AFT305" s="100"/>
      <c r="AFU305" s="100"/>
      <c r="AFV305" s="100"/>
      <c r="AFW305" s="100"/>
      <c r="AFX305" s="100"/>
      <c r="AFY305" s="100"/>
      <c r="AFZ305" s="100"/>
      <c r="AGA305" s="100"/>
      <c r="AGB305" s="100"/>
      <c r="AGC305" s="100"/>
      <c r="AGD305" s="100"/>
      <c r="AGE305" s="100"/>
      <c r="AGF305" s="100"/>
      <c r="AGG305" s="100"/>
      <c r="AGH305" s="100"/>
      <c r="AGI305" s="100"/>
      <c r="AGJ305" s="100"/>
      <c r="AGK305" s="100"/>
      <c r="AGL305" s="100"/>
      <c r="AGM305" s="100"/>
      <c r="AGN305" s="100"/>
      <c r="AGO305" s="100"/>
      <c r="AGP305" s="100"/>
      <c r="AGQ305" s="100"/>
      <c r="AGR305" s="100"/>
      <c r="AGS305" s="100"/>
      <c r="AGT305" s="100"/>
      <c r="AGU305" s="100"/>
      <c r="AGV305" s="100"/>
      <c r="AGW305" s="100"/>
      <c r="AGX305" s="100"/>
      <c r="AGY305" s="100"/>
      <c r="AGZ305" s="100"/>
      <c r="AHA305" s="100"/>
      <c r="AHB305" s="100"/>
      <c r="AHC305" s="100"/>
      <c r="AHD305" s="100"/>
      <c r="AHE305" s="100"/>
      <c r="AHF305" s="100"/>
      <c r="AHG305" s="100"/>
      <c r="AHH305" s="100"/>
      <c r="AHI305" s="100"/>
      <c r="AHJ305" s="100"/>
      <c r="AHK305" s="100"/>
      <c r="AHL305" s="100"/>
      <c r="AHM305" s="100"/>
      <c r="AHN305" s="100"/>
      <c r="AHO305" s="100"/>
      <c r="AHP305" s="100"/>
      <c r="AHQ305" s="100"/>
      <c r="AHR305" s="100"/>
      <c r="AHS305" s="100"/>
      <c r="AHT305" s="100"/>
      <c r="AHU305" s="100"/>
      <c r="AHV305" s="100"/>
      <c r="AHW305" s="100"/>
      <c r="AHX305" s="100"/>
      <c r="AHY305" s="100"/>
      <c r="AHZ305" s="100"/>
      <c r="AIA305" s="100"/>
      <c r="AIB305" s="100"/>
      <c r="AIC305" s="100"/>
      <c r="AID305" s="100"/>
      <c r="AIE305" s="100"/>
      <c r="AIF305" s="100"/>
      <c r="AIG305" s="100"/>
      <c r="AIH305" s="100"/>
      <c r="AII305" s="100"/>
      <c r="AIJ305" s="100"/>
      <c r="AIK305" s="100"/>
      <c r="AIL305" s="100"/>
      <c r="AIM305" s="100"/>
      <c r="AIN305" s="100"/>
      <c r="AIO305" s="100"/>
      <c r="AIP305" s="100"/>
      <c r="AIQ305" s="100"/>
      <c r="AIR305" s="100"/>
      <c r="AIS305" s="100"/>
      <c r="AIT305" s="100"/>
      <c r="AIU305" s="100"/>
      <c r="AIV305" s="100"/>
      <c r="AIW305" s="100"/>
      <c r="AIX305" s="100"/>
      <c r="AIY305" s="100"/>
      <c r="AIZ305" s="100"/>
      <c r="AJA305" s="100"/>
      <c r="AJB305" s="100"/>
      <c r="AJC305" s="100"/>
      <c r="AJD305" s="100"/>
      <c r="AJE305" s="100"/>
      <c r="AJF305" s="100"/>
      <c r="AJG305" s="100"/>
      <c r="AJH305" s="100"/>
      <c r="AJI305" s="100"/>
      <c r="AJJ305" s="100"/>
      <c r="AJK305" s="100"/>
      <c r="AJL305" s="100"/>
      <c r="AJM305" s="100"/>
      <c r="AJN305" s="100"/>
      <c r="AJO305" s="100"/>
      <c r="AJP305" s="100"/>
      <c r="AJQ305" s="100"/>
      <c r="AJR305" s="100"/>
      <c r="AJS305" s="100"/>
      <c r="AJT305" s="100"/>
      <c r="AJU305" s="100"/>
      <c r="AJV305" s="100"/>
      <c r="AJW305" s="100"/>
      <c r="AJX305" s="100"/>
      <c r="AJY305" s="100"/>
      <c r="AJZ305" s="100"/>
      <c r="AKA305" s="100"/>
      <c r="AKB305" s="100"/>
      <c r="AKC305" s="100"/>
      <c r="AKD305" s="100"/>
      <c r="AKE305" s="100"/>
      <c r="AKF305" s="100"/>
      <c r="AKG305" s="100"/>
      <c r="AKH305" s="100"/>
      <c r="AKI305" s="100"/>
      <c r="AKJ305" s="100"/>
      <c r="AKK305" s="100"/>
      <c r="AKL305" s="100"/>
      <c r="AKM305" s="100"/>
      <c r="AKN305" s="100"/>
      <c r="AKO305" s="100"/>
      <c r="AKP305" s="100"/>
      <c r="AKQ305" s="100"/>
      <c r="AKR305" s="100"/>
      <c r="AKS305" s="100"/>
      <c r="AKT305" s="100"/>
      <c r="AKU305" s="100"/>
      <c r="AKV305" s="100"/>
      <c r="AKW305" s="100"/>
      <c r="AKX305" s="100"/>
      <c r="AKY305" s="100"/>
      <c r="AKZ305" s="100"/>
      <c r="ALA305" s="100"/>
      <c r="ALB305" s="100"/>
      <c r="ALC305" s="100"/>
      <c r="ALD305" s="100"/>
      <c r="ALE305" s="100"/>
      <c r="ALF305" s="100"/>
      <c r="ALG305" s="100"/>
      <c r="ALH305" s="100"/>
      <c r="ALI305" s="100"/>
      <c r="ALJ305" s="100"/>
      <c r="ALK305" s="100"/>
      <c r="ALL305" s="100"/>
      <c r="ALM305" s="100"/>
      <c r="ALN305" s="100"/>
      <c r="ALO305" s="100"/>
      <c r="ALP305" s="100"/>
      <c r="ALQ305" s="100"/>
      <c r="ALR305" s="100"/>
      <c r="ALS305" s="100"/>
      <c r="ALT305" s="100"/>
      <c r="ALU305" s="100"/>
      <c r="ALV305" s="100"/>
      <c r="ALW305" s="100"/>
      <c r="ALX305" s="100"/>
      <c r="ALY305" s="100"/>
      <c r="ALZ305" s="100"/>
      <c r="AMA305" s="100"/>
      <c r="AMB305" s="100"/>
      <c r="AMC305" s="100"/>
      <c r="AMD305" s="100"/>
    </row>
    <row r="306" spans="1:1018" s="127" customFormat="1" ht="11.25" customHeight="1" x14ac:dyDescent="0.15">
      <c r="A306" s="111"/>
      <c r="B306" s="126">
        <v>2</v>
      </c>
      <c r="C306" s="114">
        <v>299</v>
      </c>
      <c r="D306" s="115" t="s">
        <v>442</v>
      </c>
      <c r="E306" s="171">
        <v>310</v>
      </c>
      <c r="F306" s="113">
        <f>ROUND(E306*Valores!$C$2,2)</f>
        <v>30319.86</v>
      </c>
      <c r="G306" s="169">
        <v>0</v>
      </c>
      <c r="H306" s="113">
        <f>ROUND(G306*Valores!$C$2,2)</f>
        <v>0</v>
      </c>
      <c r="I306" s="169">
        <v>0</v>
      </c>
      <c r="J306" s="113">
        <f>ROUND(I306*Valores!$C$2,2)</f>
        <v>0</v>
      </c>
      <c r="K306" s="169">
        <v>0</v>
      </c>
      <c r="L306" s="113">
        <f>ROUND(K306*Valores!$C$2,2)</f>
        <v>0</v>
      </c>
      <c r="M306" s="113">
        <f>ROUND(IF($H$2=0,IF(AND(A306&lt;&gt;"13-930",A306&lt;&gt;"13-940"),(SUM(F306,H306,J306,L306,W306,S306,Q306)*Valores!$C$4),0),0),2)</f>
        <v>8453.49</v>
      </c>
      <c r="N306" s="113">
        <f t="shared" si="54"/>
        <v>0</v>
      </c>
      <c r="O306" s="113">
        <v>0</v>
      </c>
      <c r="P306" s="113">
        <v>0</v>
      </c>
      <c r="Q306" s="113">
        <f>IF($F$4="NO",IF(Valores!$C$28*B306&gt;Valores!$C$25,Valores!$C$25,Valores!$C$28*B306),IF(Valores!$C$28*B306&gt;Valores!$C$25,Valores!$C$25,Valores!$C$28*B306)/2)</f>
        <v>3494.08</v>
      </c>
      <c r="R306" s="113">
        <v>0</v>
      </c>
      <c r="S306" s="113">
        <f t="shared" si="55"/>
        <v>0</v>
      </c>
      <c r="T306" s="113">
        <v>0</v>
      </c>
      <c r="U306" s="113">
        <v>0</v>
      </c>
      <c r="V306" s="169">
        <v>0</v>
      </c>
      <c r="W306" s="113">
        <f>ROUND(V306*Valores!$C$2,2)</f>
        <v>0</v>
      </c>
      <c r="X306" s="113">
        <v>0</v>
      </c>
      <c r="Y306" s="188">
        <v>0</v>
      </c>
      <c r="Z306" s="113">
        <v>0</v>
      </c>
      <c r="AA306" s="169">
        <v>0</v>
      </c>
      <c r="AB306" s="113">
        <f>ROUND(AA306*Valores!$C$2,2)</f>
        <v>0</v>
      </c>
      <c r="AC306" s="113"/>
      <c r="AD306" s="113">
        <f>SUM(F306,H306,J306,L306,M306,N306,O306,P306,Q306,S306,T306,U306,W306,X306,Z306,AB306,AC306)*Valores!$C$58</f>
        <v>4226.7430000000004</v>
      </c>
      <c r="AE306" s="113">
        <f t="shared" si="49"/>
        <v>46494.173000000003</v>
      </c>
      <c r="AF306" s="113">
        <v>0</v>
      </c>
      <c r="AG306" s="113">
        <f>AE306*Valores!$C$60*Valores!$C$61</f>
        <v>0</v>
      </c>
      <c r="AH306" s="113">
        <f t="shared" si="45"/>
        <v>0</v>
      </c>
      <c r="AI306" s="113">
        <f>AE306*Valores!$C$39</f>
        <v>-5114.3590300000005</v>
      </c>
      <c r="AJ306" s="113">
        <f>IF(AE306&lt;Valores!$E$40,-0.02,IF(AE306&lt;Valores!$F$40,-0.03,-0.04))*AE306</f>
        <v>-929.88346000000001</v>
      </c>
      <c r="AK306" s="113">
        <f>AE306*Valores!$C$42</f>
        <v>-2557.1795150000003</v>
      </c>
      <c r="AL306" s="113">
        <v>0</v>
      </c>
      <c r="AM306" s="113">
        <v>0</v>
      </c>
      <c r="AN306" s="113">
        <f t="shared" si="50"/>
        <v>37892.750995000002</v>
      </c>
      <c r="AO306" s="113">
        <f t="shared" si="44"/>
        <v>-5114.3590300000005</v>
      </c>
      <c r="AP306" s="113">
        <f t="shared" si="51"/>
        <v>-929.88346000000001</v>
      </c>
      <c r="AQ306" s="113">
        <f>AE306*Valores!$C$43</f>
        <v>-1255.3426710000001</v>
      </c>
      <c r="AR306" s="113">
        <f>AE306*Valores!$C$44</f>
        <v>-139.482519</v>
      </c>
      <c r="AS306" s="113">
        <f t="shared" si="46"/>
        <v>39055.105320000002</v>
      </c>
      <c r="AT306" s="113">
        <f>AE306*Valores!$C$46</f>
        <v>7439.0676800000001</v>
      </c>
      <c r="AU306" s="113">
        <f>AE306*Valores!$C$47</f>
        <v>3254.5921100000005</v>
      </c>
      <c r="AV306" s="113">
        <f>AE306*Valores!$C$48</f>
        <v>464.94173000000001</v>
      </c>
      <c r="AW306" s="113">
        <f>AE306*Valores!$C$50</f>
        <v>1627.2960550000003</v>
      </c>
      <c r="AX306" s="113">
        <f>AE306*Valores!$C$52</f>
        <v>2510.6853420000002</v>
      </c>
      <c r="AY306" s="113">
        <f>AE306*Valores!$C$51</f>
        <v>278.96503799999999</v>
      </c>
      <c r="AZ306" s="114"/>
      <c r="BA306" s="114"/>
      <c r="BB306" s="111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00"/>
      <c r="FK306" s="100"/>
      <c r="FL306" s="100"/>
      <c r="FM306" s="100"/>
      <c r="FN306" s="100"/>
      <c r="FO306" s="100"/>
      <c r="FP306" s="100"/>
      <c r="FQ306" s="100"/>
      <c r="FR306" s="100"/>
      <c r="FS306" s="100"/>
      <c r="FT306" s="100"/>
      <c r="FU306" s="100"/>
      <c r="FV306" s="100"/>
      <c r="FW306" s="100"/>
      <c r="FX306" s="100"/>
      <c r="FY306" s="100"/>
      <c r="FZ306" s="100"/>
      <c r="GA306" s="100"/>
      <c r="GB306" s="100"/>
      <c r="GC306" s="100"/>
      <c r="GD306" s="100"/>
      <c r="GE306" s="100"/>
      <c r="GF306" s="100"/>
      <c r="GG306" s="100"/>
      <c r="GH306" s="100"/>
      <c r="GI306" s="100"/>
      <c r="GJ306" s="100"/>
      <c r="GK306" s="100"/>
      <c r="GL306" s="100"/>
      <c r="GM306" s="100"/>
      <c r="GN306" s="100"/>
      <c r="GO306" s="100"/>
      <c r="GP306" s="100"/>
      <c r="GQ306" s="100"/>
      <c r="GR306" s="100"/>
      <c r="GS306" s="100"/>
      <c r="GT306" s="100"/>
      <c r="GU306" s="100"/>
      <c r="GV306" s="100"/>
      <c r="GW306" s="100"/>
      <c r="GX306" s="100"/>
      <c r="GY306" s="100"/>
      <c r="GZ306" s="100"/>
      <c r="HA306" s="100"/>
      <c r="HB306" s="100"/>
      <c r="HC306" s="100"/>
      <c r="HD306" s="100"/>
      <c r="HE306" s="100"/>
      <c r="HF306" s="100"/>
      <c r="HG306" s="100"/>
      <c r="HH306" s="100"/>
      <c r="HI306" s="100"/>
      <c r="HJ306" s="100"/>
      <c r="HK306" s="100"/>
      <c r="HL306" s="100"/>
      <c r="HM306" s="100"/>
      <c r="HN306" s="100"/>
      <c r="HO306" s="100"/>
      <c r="HP306" s="100"/>
      <c r="HQ306" s="100"/>
      <c r="HR306" s="100"/>
      <c r="HS306" s="100"/>
      <c r="HT306" s="100"/>
      <c r="HU306" s="100"/>
      <c r="HV306" s="100"/>
      <c r="HW306" s="100"/>
      <c r="HX306" s="100"/>
      <c r="HY306" s="100"/>
      <c r="HZ306" s="100"/>
      <c r="IA306" s="100"/>
      <c r="IB306" s="100"/>
      <c r="IC306" s="100"/>
      <c r="ID306" s="100"/>
      <c r="IE306" s="100"/>
      <c r="IF306" s="100"/>
      <c r="IG306" s="100"/>
      <c r="IH306" s="100"/>
      <c r="II306" s="100"/>
      <c r="IJ306" s="100"/>
      <c r="IK306" s="100"/>
      <c r="IL306" s="100"/>
      <c r="IM306" s="100"/>
      <c r="IN306" s="100"/>
      <c r="IO306" s="100"/>
      <c r="IP306" s="100"/>
      <c r="IQ306" s="100"/>
      <c r="IR306" s="100"/>
      <c r="IS306" s="100"/>
      <c r="IT306" s="100"/>
      <c r="IU306" s="100"/>
      <c r="IV306" s="100"/>
      <c r="IW306" s="100"/>
      <c r="IX306" s="100"/>
      <c r="IY306" s="100"/>
      <c r="IZ306" s="100"/>
      <c r="JA306" s="100"/>
      <c r="JB306" s="100"/>
      <c r="JC306" s="100"/>
      <c r="JD306" s="100"/>
      <c r="JE306" s="100"/>
      <c r="JF306" s="100"/>
      <c r="JG306" s="100"/>
      <c r="JH306" s="100"/>
      <c r="JI306" s="100"/>
      <c r="JJ306" s="100"/>
      <c r="JK306" s="100"/>
      <c r="JL306" s="100"/>
      <c r="JM306" s="100"/>
      <c r="JN306" s="100"/>
      <c r="JO306" s="100"/>
      <c r="JP306" s="100"/>
      <c r="JQ306" s="100"/>
      <c r="JR306" s="100"/>
      <c r="JS306" s="100"/>
      <c r="JT306" s="100"/>
      <c r="JU306" s="100"/>
      <c r="JV306" s="100"/>
      <c r="JW306" s="100"/>
      <c r="JX306" s="100"/>
      <c r="JY306" s="100"/>
      <c r="JZ306" s="100"/>
      <c r="KA306" s="100"/>
      <c r="KB306" s="100"/>
      <c r="KC306" s="100"/>
      <c r="KD306" s="100"/>
      <c r="KE306" s="100"/>
      <c r="KF306" s="100"/>
      <c r="KG306" s="100"/>
      <c r="KH306" s="100"/>
      <c r="KI306" s="100"/>
      <c r="KJ306" s="100"/>
      <c r="KK306" s="100"/>
      <c r="KL306" s="100"/>
      <c r="KM306" s="100"/>
      <c r="KN306" s="100"/>
      <c r="KO306" s="100"/>
      <c r="KP306" s="100"/>
      <c r="KQ306" s="100"/>
      <c r="KR306" s="100"/>
      <c r="KS306" s="100"/>
      <c r="KT306" s="100"/>
      <c r="KU306" s="100"/>
      <c r="KV306" s="100"/>
      <c r="KW306" s="100"/>
      <c r="KX306" s="100"/>
      <c r="KY306" s="100"/>
      <c r="KZ306" s="100"/>
      <c r="LA306" s="100"/>
      <c r="LB306" s="100"/>
      <c r="LC306" s="100"/>
      <c r="LD306" s="100"/>
      <c r="LE306" s="100"/>
      <c r="LF306" s="100"/>
      <c r="LG306" s="100"/>
      <c r="LH306" s="100"/>
      <c r="LI306" s="100"/>
      <c r="LJ306" s="100"/>
      <c r="LK306" s="100"/>
      <c r="LL306" s="100"/>
      <c r="LM306" s="100"/>
      <c r="LN306" s="100"/>
      <c r="LO306" s="100"/>
      <c r="LP306" s="100"/>
      <c r="LQ306" s="100"/>
      <c r="LR306" s="100"/>
      <c r="LS306" s="100"/>
      <c r="LT306" s="100"/>
      <c r="LU306" s="100"/>
      <c r="LV306" s="100"/>
      <c r="LW306" s="100"/>
      <c r="LX306" s="100"/>
      <c r="LY306" s="100"/>
      <c r="LZ306" s="100"/>
      <c r="MA306" s="100"/>
      <c r="MB306" s="100"/>
      <c r="MC306" s="100"/>
      <c r="MD306" s="100"/>
      <c r="ME306" s="100"/>
      <c r="MF306" s="100"/>
      <c r="MG306" s="100"/>
      <c r="MH306" s="100"/>
      <c r="MI306" s="100"/>
      <c r="MJ306" s="100"/>
      <c r="MK306" s="100"/>
      <c r="ML306" s="100"/>
      <c r="MM306" s="100"/>
      <c r="MN306" s="100"/>
      <c r="MO306" s="100"/>
      <c r="MP306" s="100"/>
      <c r="MQ306" s="100"/>
      <c r="MR306" s="100"/>
      <c r="MS306" s="100"/>
      <c r="MT306" s="100"/>
      <c r="MU306" s="100"/>
      <c r="MV306" s="100"/>
      <c r="MW306" s="100"/>
      <c r="MX306" s="100"/>
      <c r="MY306" s="100"/>
      <c r="MZ306" s="100"/>
      <c r="NA306" s="100"/>
      <c r="NB306" s="100"/>
      <c r="NC306" s="100"/>
      <c r="ND306" s="100"/>
      <c r="NE306" s="100"/>
      <c r="NF306" s="100"/>
      <c r="NG306" s="100"/>
      <c r="NH306" s="100"/>
      <c r="NI306" s="100"/>
      <c r="NJ306" s="100"/>
      <c r="NK306" s="100"/>
      <c r="NL306" s="100"/>
      <c r="NM306" s="100"/>
      <c r="NN306" s="100"/>
      <c r="NO306" s="100"/>
      <c r="NP306" s="100"/>
      <c r="NQ306" s="100"/>
      <c r="NR306" s="100"/>
      <c r="NS306" s="100"/>
      <c r="NT306" s="100"/>
      <c r="NU306" s="100"/>
      <c r="NV306" s="100"/>
      <c r="NW306" s="100"/>
      <c r="NX306" s="100"/>
      <c r="NY306" s="100"/>
      <c r="NZ306" s="100"/>
      <c r="OA306" s="100"/>
      <c r="OB306" s="100"/>
      <c r="OC306" s="100"/>
      <c r="OD306" s="100"/>
      <c r="OE306" s="100"/>
      <c r="OF306" s="100"/>
      <c r="OG306" s="100"/>
      <c r="OH306" s="100"/>
      <c r="OI306" s="100"/>
      <c r="OJ306" s="100"/>
      <c r="OK306" s="100"/>
      <c r="OL306" s="100"/>
      <c r="OM306" s="100"/>
      <c r="ON306" s="100"/>
      <c r="OO306" s="100"/>
      <c r="OP306" s="100"/>
      <c r="OQ306" s="100"/>
      <c r="OR306" s="100"/>
      <c r="OS306" s="100"/>
      <c r="OT306" s="100"/>
      <c r="OU306" s="100"/>
      <c r="OV306" s="100"/>
      <c r="OW306" s="100"/>
      <c r="OX306" s="100"/>
      <c r="OY306" s="100"/>
      <c r="OZ306" s="100"/>
      <c r="PA306" s="100"/>
      <c r="PB306" s="100"/>
      <c r="PC306" s="100"/>
      <c r="PD306" s="100"/>
      <c r="PE306" s="100"/>
      <c r="PF306" s="100"/>
      <c r="PG306" s="100"/>
      <c r="PH306" s="100"/>
      <c r="PI306" s="100"/>
      <c r="PJ306" s="100"/>
      <c r="PK306" s="100"/>
      <c r="PL306" s="100"/>
      <c r="PM306" s="100"/>
      <c r="PN306" s="100"/>
      <c r="PO306" s="100"/>
      <c r="PP306" s="100"/>
      <c r="PQ306" s="100"/>
      <c r="PR306" s="100"/>
      <c r="PS306" s="100"/>
      <c r="PT306" s="100"/>
      <c r="PU306" s="100"/>
      <c r="PV306" s="100"/>
      <c r="PW306" s="100"/>
      <c r="PX306" s="100"/>
      <c r="PY306" s="100"/>
      <c r="PZ306" s="100"/>
      <c r="QA306" s="100"/>
      <c r="QB306" s="100"/>
      <c r="QC306" s="100"/>
      <c r="QD306" s="100"/>
      <c r="QE306" s="100"/>
      <c r="QF306" s="100"/>
      <c r="QG306" s="100"/>
      <c r="QH306" s="100"/>
      <c r="QI306" s="100"/>
      <c r="QJ306" s="100"/>
      <c r="QK306" s="100"/>
      <c r="QL306" s="100"/>
      <c r="QM306" s="100"/>
      <c r="QN306" s="100"/>
      <c r="QO306" s="100"/>
      <c r="QP306" s="100"/>
      <c r="QQ306" s="100"/>
      <c r="QR306" s="100"/>
      <c r="QS306" s="100"/>
      <c r="QT306" s="100"/>
      <c r="QU306" s="100"/>
      <c r="QV306" s="100"/>
      <c r="QW306" s="100"/>
      <c r="QX306" s="100"/>
      <c r="QY306" s="100"/>
      <c r="QZ306" s="100"/>
      <c r="RA306" s="100"/>
      <c r="RB306" s="100"/>
      <c r="RC306" s="100"/>
      <c r="RD306" s="100"/>
      <c r="RE306" s="100"/>
      <c r="RF306" s="100"/>
      <c r="RG306" s="100"/>
      <c r="RH306" s="100"/>
      <c r="RI306" s="100"/>
      <c r="RJ306" s="100"/>
      <c r="RK306" s="100"/>
      <c r="RL306" s="100"/>
      <c r="RM306" s="100"/>
      <c r="RN306" s="100"/>
      <c r="RO306" s="100"/>
      <c r="RP306" s="100"/>
      <c r="RQ306" s="100"/>
      <c r="RR306" s="100"/>
      <c r="RS306" s="100"/>
      <c r="RT306" s="100"/>
      <c r="RU306" s="100"/>
      <c r="RV306" s="100"/>
      <c r="RW306" s="100"/>
      <c r="RX306" s="100"/>
      <c r="RY306" s="100"/>
      <c r="RZ306" s="100"/>
      <c r="SA306" s="100"/>
      <c r="SB306" s="100"/>
      <c r="SC306" s="100"/>
      <c r="SD306" s="100"/>
      <c r="SE306" s="100"/>
      <c r="SF306" s="100"/>
      <c r="SG306" s="100"/>
      <c r="SH306" s="100"/>
      <c r="SI306" s="100"/>
      <c r="SJ306" s="100"/>
      <c r="SK306" s="100"/>
      <c r="SL306" s="100"/>
      <c r="SM306" s="100"/>
      <c r="SN306" s="100"/>
      <c r="SO306" s="100"/>
      <c r="SP306" s="100"/>
      <c r="SQ306" s="100"/>
      <c r="SR306" s="100"/>
      <c r="SS306" s="100"/>
      <c r="ST306" s="100"/>
      <c r="SU306" s="100"/>
      <c r="SV306" s="100"/>
      <c r="SW306" s="100"/>
      <c r="SX306" s="100"/>
      <c r="SY306" s="100"/>
      <c r="SZ306" s="100"/>
      <c r="TA306" s="100"/>
      <c r="TB306" s="100"/>
      <c r="TC306" s="100"/>
      <c r="TD306" s="100"/>
      <c r="TE306" s="100"/>
      <c r="TF306" s="100"/>
      <c r="TG306" s="100"/>
      <c r="TH306" s="100"/>
      <c r="TI306" s="100"/>
      <c r="TJ306" s="100"/>
      <c r="TK306" s="100"/>
      <c r="TL306" s="100"/>
      <c r="TM306" s="100"/>
      <c r="TN306" s="100"/>
      <c r="TO306" s="100"/>
      <c r="TP306" s="100"/>
      <c r="TQ306" s="100"/>
      <c r="TR306" s="100"/>
      <c r="TS306" s="100"/>
      <c r="TT306" s="100"/>
      <c r="TU306" s="100"/>
      <c r="TV306" s="100"/>
      <c r="TW306" s="100"/>
      <c r="TX306" s="100"/>
      <c r="TY306" s="100"/>
      <c r="TZ306" s="100"/>
      <c r="UA306" s="100"/>
      <c r="UB306" s="100"/>
      <c r="UC306" s="100"/>
      <c r="UD306" s="100"/>
      <c r="UE306" s="100"/>
      <c r="UF306" s="100"/>
      <c r="UG306" s="100"/>
      <c r="UH306" s="100"/>
      <c r="UI306" s="100"/>
      <c r="UJ306" s="100"/>
      <c r="UK306" s="100"/>
      <c r="UL306" s="100"/>
      <c r="UM306" s="100"/>
      <c r="UN306" s="100"/>
      <c r="UO306" s="100"/>
      <c r="UP306" s="100"/>
      <c r="UQ306" s="100"/>
      <c r="UR306" s="100"/>
      <c r="US306" s="100"/>
      <c r="UT306" s="100"/>
      <c r="UU306" s="100"/>
      <c r="UV306" s="100"/>
      <c r="UW306" s="100"/>
      <c r="UX306" s="100"/>
      <c r="UY306" s="100"/>
      <c r="UZ306" s="100"/>
      <c r="VA306" s="100"/>
      <c r="VB306" s="100"/>
      <c r="VC306" s="100"/>
      <c r="VD306" s="100"/>
      <c r="VE306" s="100"/>
      <c r="VF306" s="100"/>
      <c r="VG306" s="100"/>
      <c r="VH306" s="100"/>
      <c r="VI306" s="100"/>
      <c r="VJ306" s="100"/>
      <c r="VK306" s="100"/>
      <c r="VL306" s="100"/>
      <c r="VM306" s="100"/>
      <c r="VN306" s="100"/>
      <c r="VO306" s="100"/>
      <c r="VP306" s="100"/>
      <c r="VQ306" s="100"/>
      <c r="VR306" s="100"/>
      <c r="VS306" s="100"/>
      <c r="VT306" s="100"/>
      <c r="VU306" s="100"/>
      <c r="VV306" s="100"/>
      <c r="VW306" s="100"/>
      <c r="VX306" s="100"/>
      <c r="VY306" s="100"/>
      <c r="VZ306" s="100"/>
      <c r="WA306" s="100"/>
      <c r="WB306" s="100"/>
      <c r="WC306" s="100"/>
      <c r="WD306" s="100"/>
      <c r="WE306" s="100"/>
      <c r="WF306" s="100"/>
      <c r="WG306" s="100"/>
      <c r="WH306" s="100"/>
      <c r="WI306" s="100"/>
      <c r="WJ306" s="100"/>
      <c r="WK306" s="100"/>
      <c r="WL306" s="100"/>
      <c r="WM306" s="100"/>
      <c r="WN306" s="100"/>
      <c r="WO306" s="100"/>
      <c r="WP306" s="100"/>
      <c r="WQ306" s="100"/>
      <c r="WR306" s="100"/>
      <c r="WS306" s="100"/>
      <c r="WT306" s="100"/>
      <c r="WU306" s="100"/>
      <c r="WV306" s="100"/>
      <c r="WW306" s="100"/>
      <c r="WX306" s="100"/>
      <c r="WY306" s="100"/>
      <c r="WZ306" s="100"/>
      <c r="XA306" s="100"/>
      <c r="XB306" s="100"/>
      <c r="XC306" s="100"/>
      <c r="XD306" s="100"/>
      <c r="XE306" s="100"/>
      <c r="XF306" s="100"/>
      <c r="XG306" s="100"/>
      <c r="XH306" s="100"/>
      <c r="XI306" s="100"/>
      <c r="XJ306" s="100"/>
      <c r="XK306" s="100"/>
      <c r="XL306" s="100"/>
      <c r="XM306" s="100"/>
      <c r="XN306" s="100"/>
      <c r="XO306" s="100"/>
      <c r="XP306" s="100"/>
      <c r="XQ306" s="100"/>
      <c r="XR306" s="100"/>
      <c r="XS306" s="100"/>
      <c r="XT306" s="100"/>
      <c r="XU306" s="100"/>
      <c r="XV306" s="100"/>
      <c r="XW306" s="100"/>
      <c r="XX306" s="100"/>
      <c r="XY306" s="100"/>
      <c r="XZ306" s="100"/>
      <c r="YA306" s="100"/>
      <c r="YB306" s="100"/>
      <c r="YC306" s="100"/>
      <c r="YD306" s="100"/>
      <c r="YE306" s="100"/>
      <c r="YF306" s="100"/>
      <c r="YG306" s="100"/>
      <c r="YH306" s="100"/>
      <c r="YI306" s="100"/>
      <c r="YJ306" s="100"/>
      <c r="YK306" s="100"/>
      <c r="YL306" s="100"/>
      <c r="YM306" s="100"/>
      <c r="YN306" s="100"/>
      <c r="YO306" s="100"/>
      <c r="YP306" s="100"/>
      <c r="YQ306" s="100"/>
      <c r="YR306" s="100"/>
      <c r="YS306" s="100"/>
      <c r="YT306" s="100"/>
      <c r="YU306" s="100"/>
      <c r="YV306" s="100"/>
      <c r="YW306" s="100"/>
      <c r="YX306" s="100"/>
      <c r="YY306" s="100"/>
      <c r="YZ306" s="100"/>
      <c r="ZA306" s="100"/>
      <c r="ZB306" s="100"/>
      <c r="ZC306" s="100"/>
      <c r="ZD306" s="100"/>
      <c r="ZE306" s="100"/>
      <c r="ZF306" s="100"/>
      <c r="ZG306" s="100"/>
      <c r="ZH306" s="100"/>
      <c r="ZI306" s="100"/>
      <c r="ZJ306" s="100"/>
      <c r="ZK306" s="100"/>
      <c r="ZL306" s="100"/>
      <c r="ZM306" s="100"/>
      <c r="ZN306" s="100"/>
      <c r="ZO306" s="100"/>
      <c r="ZP306" s="100"/>
      <c r="ZQ306" s="100"/>
      <c r="ZR306" s="100"/>
      <c r="ZS306" s="100"/>
      <c r="ZT306" s="100"/>
      <c r="ZU306" s="100"/>
      <c r="ZV306" s="100"/>
      <c r="ZW306" s="100"/>
      <c r="ZX306" s="100"/>
      <c r="ZY306" s="100"/>
      <c r="ZZ306" s="100"/>
      <c r="AAA306" s="100"/>
      <c r="AAB306" s="100"/>
      <c r="AAC306" s="100"/>
      <c r="AAD306" s="100"/>
      <c r="AAE306" s="100"/>
      <c r="AAF306" s="100"/>
      <c r="AAG306" s="100"/>
      <c r="AAH306" s="100"/>
      <c r="AAI306" s="100"/>
      <c r="AAJ306" s="100"/>
      <c r="AAK306" s="100"/>
      <c r="AAL306" s="100"/>
      <c r="AAM306" s="100"/>
      <c r="AAN306" s="100"/>
      <c r="AAO306" s="100"/>
      <c r="AAP306" s="100"/>
      <c r="AAQ306" s="100"/>
      <c r="AAR306" s="100"/>
      <c r="AAS306" s="100"/>
      <c r="AAT306" s="100"/>
      <c r="AAU306" s="100"/>
      <c r="AAV306" s="100"/>
      <c r="AAW306" s="100"/>
      <c r="AAX306" s="100"/>
      <c r="AAY306" s="100"/>
      <c r="AAZ306" s="100"/>
      <c r="ABA306" s="100"/>
      <c r="ABB306" s="100"/>
      <c r="ABC306" s="100"/>
      <c r="ABD306" s="100"/>
      <c r="ABE306" s="100"/>
      <c r="ABF306" s="100"/>
      <c r="ABG306" s="100"/>
      <c r="ABH306" s="100"/>
      <c r="ABI306" s="100"/>
      <c r="ABJ306" s="100"/>
      <c r="ABK306" s="100"/>
      <c r="ABL306" s="100"/>
      <c r="ABM306" s="100"/>
      <c r="ABN306" s="100"/>
      <c r="ABO306" s="100"/>
      <c r="ABP306" s="100"/>
      <c r="ABQ306" s="100"/>
      <c r="ABR306" s="100"/>
      <c r="ABS306" s="100"/>
      <c r="ABT306" s="100"/>
      <c r="ABU306" s="100"/>
      <c r="ABV306" s="100"/>
      <c r="ABW306" s="100"/>
      <c r="ABX306" s="100"/>
      <c r="ABY306" s="100"/>
      <c r="ABZ306" s="100"/>
      <c r="ACA306" s="100"/>
      <c r="ACB306" s="100"/>
      <c r="ACC306" s="100"/>
      <c r="ACD306" s="100"/>
      <c r="ACE306" s="100"/>
      <c r="ACF306" s="100"/>
      <c r="ACG306" s="100"/>
      <c r="ACH306" s="100"/>
      <c r="ACI306" s="100"/>
      <c r="ACJ306" s="100"/>
      <c r="ACK306" s="100"/>
      <c r="ACL306" s="100"/>
      <c r="ACM306" s="100"/>
      <c r="ACN306" s="100"/>
      <c r="ACO306" s="100"/>
      <c r="ACP306" s="100"/>
      <c r="ACQ306" s="100"/>
      <c r="ACR306" s="100"/>
      <c r="ACS306" s="100"/>
      <c r="ACT306" s="100"/>
      <c r="ACU306" s="100"/>
      <c r="ACV306" s="100"/>
      <c r="ACW306" s="100"/>
      <c r="ACX306" s="100"/>
      <c r="ACY306" s="100"/>
      <c r="ACZ306" s="100"/>
      <c r="ADA306" s="100"/>
      <c r="ADB306" s="100"/>
      <c r="ADC306" s="100"/>
      <c r="ADD306" s="100"/>
      <c r="ADE306" s="100"/>
      <c r="ADF306" s="100"/>
      <c r="ADG306" s="100"/>
      <c r="ADH306" s="100"/>
      <c r="ADI306" s="100"/>
      <c r="ADJ306" s="100"/>
      <c r="ADK306" s="100"/>
      <c r="ADL306" s="100"/>
      <c r="ADM306" s="100"/>
      <c r="ADN306" s="100"/>
      <c r="ADO306" s="100"/>
      <c r="ADP306" s="100"/>
      <c r="ADQ306" s="100"/>
      <c r="ADR306" s="100"/>
      <c r="ADS306" s="100"/>
      <c r="ADT306" s="100"/>
      <c r="ADU306" s="100"/>
      <c r="ADV306" s="100"/>
      <c r="ADW306" s="100"/>
      <c r="ADX306" s="100"/>
      <c r="ADY306" s="100"/>
      <c r="ADZ306" s="100"/>
      <c r="AEA306" s="100"/>
      <c r="AEB306" s="100"/>
      <c r="AEC306" s="100"/>
      <c r="AED306" s="100"/>
      <c r="AEE306" s="100"/>
      <c r="AEF306" s="100"/>
      <c r="AEG306" s="100"/>
      <c r="AEH306" s="100"/>
      <c r="AEI306" s="100"/>
      <c r="AEJ306" s="100"/>
      <c r="AEK306" s="100"/>
      <c r="AEL306" s="100"/>
      <c r="AEM306" s="100"/>
      <c r="AEN306" s="100"/>
      <c r="AEO306" s="100"/>
      <c r="AEP306" s="100"/>
      <c r="AEQ306" s="100"/>
      <c r="AER306" s="100"/>
      <c r="AES306" s="100"/>
      <c r="AET306" s="100"/>
      <c r="AEU306" s="100"/>
      <c r="AEV306" s="100"/>
      <c r="AEW306" s="100"/>
      <c r="AEX306" s="100"/>
      <c r="AEY306" s="100"/>
      <c r="AEZ306" s="100"/>
      <c r="AFA306" s="100"/>
      <c r="AFB306" s="100"/>
      <c r="AFC306" s="100"/>
      <c r="AFD306" s="100"/>
      <c r="AFE306" s="100"/>
      <c r="AFF306" s="100"/>
      <c r="AFG306" s="100"/>
      <c r="AFH306" s="100"/>
      <c r="AFI306" s="100"/>
      <c r="AFJ306" s="100"/>
      <c r="AFK306" s="100"/>
      <c r="AFL306" s="100"/>
      <c r="AFM306" s="100"/>
      <c r="AFN306" s="100"/>
      <c r="AFO306" s="100"/>
      <c r="AFP306" s="100"/>
      <c r="AFQ306" s="100"/>
      <c r="AFR306" s="100"/>
      <c r="AFS306" s="100"/>
      <c r="AFT306" s="100"/>
      <c r="AFU306" s="100"/>
      <c r="AFV306" s="100"/>
      <c r="AFW306" s="100"/>
      <c r="AFX306" s="100"/>
      <c r="AFY306" s="100"/>
      <c r="AFZ306" s="100"/>
      <c r="AGA306" s="100"/>
      <c r="AGB306" s="100"/>
      <c r="AGC306" s="100"/>
      <c r="AGD306" s="100"/>
      <c r="AGE306" s="100"/>
      <c r="AGF306" s="100"/>
      <c r="AGG306" s="100"/>
      <c r="AGH306" s="100"/>
      <c r="AGI306" s="100"/>
      <c r="AGJ306" s="100"/>
      <c r="AGK306" s="100"/>
      <c r="AGL306" s="100"/>
      <c r="AGM306" s="100"/>
      <c r="AGN306" s="100"/>
      <c r="AGO306" s="100"/>
      <c r="AGP306" s="100"/>
      <c r="AGQ306" s="100"/>
      <c r="AGR306" s="100"/>
      <c r="AGS306" s="100"/>
      <c r="AGT306" s="100"/>
      <c r="AGU306" s="100"/>
      <c r="AGV306" s="100"/>
      <c r="AGW306" s="100"/>
      <c r="AGX306" s="100"/>
      <c r="AGY306" s="100"/>
      <c r="AGZ306" s="100"/>
      <c r="AHA306" s="100"/>
      <c r="AHB306" s="100"/>
      <c r="AHC306" s="100"/>
      <c r="AHD306" s="100"/>
      <c r="AHE306" s="100"/>
      <c r="AHF306" s="100"/>
      <c r="AHG306" s="100"/>
      <c r="AHH306" s="100"/>
      <c r="AHI306" s="100"/>
      <c r="AHJ306" s="100"/>
      <c r="AHK306" s="100"/>
      <c r="AHL306" s="100"/>
      <c r="AHM306" s="100"/>
      <c r="AHN306" s="100"/>
      <c r="AHO306" s="100"/>
      <c r="AHP306" s="100"/>
      <c r="AHQ306" s="100"/>
      <c r="AHR306" s="100"/>
      <c r="AHS306" s="100"/>
      <c r="AHT306" s="100"/>
      <c r="AHU306" s="100"/>
      <c r="AHV306" s="100"/>
      <c r="AHW306" s="100"/>
      <c r="AHX306" s="100"/>
      <c r="AHY306" s="100"/>
      <c r="AHZ306" s="100"/>
      <c r="AIA306" s="100"/>
      <c r="AIB306" s="100"/>
      <c r="AIC306" s="100"/>
      <c r="AID306" s="100"/>
      <c r="AIE306" s="100"/>
      <c r="AIF306" s="100"/>
      <c r="AIG306" s="100"/>
      <c r="AIH306" s="100"/>
      <c r="AII306" s="100"/>
      <c r="AIJ306" s="100"/>
      <c r="AIK306" s="100"/>
      <c r="AIL306" s="100"/>
      <c r="AIM306" s="100"/>
      <c r="AIN306" s="100"/>
      <c r="AIO306" s="100"/>
      <c r="AIP306" s="100"/>
      <c r="AIQ306" s="100"/>
      <c r="AIR306" s="100"/>
      <c r="AIS306" s="100"/>
      <c r="AIT306" s="100"/>
      <c r="AIU306" s="100"/>
      <c r="AIV306" s="100"/>
      <c r="AIW306" s="100"/>
      <c r="AIX306" s="100"/>
      <c r="AIY306" s="100"/>
      <c r="AIZ306" s="100"/>
      <c r="AJA306" s="100"/>
      <c r="AJB306" s="100"/>
      <c r="AJC306" s="100"/>
      <c r="AJD306" s="100"/>
      <c r="AJE306" s="100"/>
      <c r="AJF306" s="100"/>
      <c r="AJG306" s="100"/>
      <c r="AJH306" s="100"/>
      <c r="AJI306" s="100"/>
      <c r="AJJ306" s="100"/>
      <c r="AJK306" s="100"/>
      <c r="AJL306" s="100"/>
      <c r="AJM306" s="100"/>
      <c r="AJN306" s="100"/>
      <c r="AJO306" s="100"/>
      <c r="AJP306" s="100"/>
      <c r="AJQ306" s="100"/>
      <c r="AJR306" s="100"/>
      <c r="AJS306" s="100"/>
      <c r="AJT306" s="100"/>
      <c r="AJU306" s="100"/>
      <c r="AJV306" s="100"/>
      <c r="AJW306" s="100"/>
      <c r="AJX306" s="100"/>
      <c r="AJY306" s="100"/>
      <c r="AJZ306" s="100"/>
      <c r="AKA306" s="100"/>
      <c r="AKB306" s="100"/>
      <c r="AKC306" s="100"/>
      <c r="AKD306" s="100"/>
      <c r="AKE306" s="100"/>
      <c r="AKF306" s="100"/>
      <c r="AKG306" s="100"/>
      <c r="AKH306" s="100"/>
      <c r="AKI306" s="100"/>
      <c r="AKJ306" s="100"/>
      <c r="AKK306" s="100"/>
      <c r="AKL306" s="100"/>
      <c r="AKM306" s="100"/>
      <c r="AKN306" s="100"/>
      <c r="AKO306" s="100"/>
      <c r="AKP306" s="100"/>
      <c r="AKQ306" s="100"/>
      <c r="AKR306" s="100"/>
      <c r="AKS306" s="100"/>
      <c r="AKT306" s="100"/>
      <c r="AKU306" s="100"/>
      <c r="AKV306" s="100"/>
      <c r="AKW306" s="100"/>
      <c r="AKX306" s="100"/>
      <c r="AKY306" s="100"/>
      <c r="AKZ306" s="100"/>
      <c r="ALA306" s="100"/>
      <c r="ALB306" s="100"/>
      <c r="ALC306" s="100"/>
      <c r="ALD306" s="100"/>
      <c r="ALE306" s="100"/>
      <c r="ALF306" s="100"/>
      <c r="ALG306" s="100"/>
      <c r="ALH306" s="100"/>
      <c r="ALI306" s="100"/>
      <c r="ALJ306" s="100"/>
      <c r="ALK306" s="100"/>
      <c r="ALL306" s="100"/>
      <c r="ALM306" s="100"/>
      <c r="ALN306" s="100"/>
      <c r="ALO306" s="100"/>
      <c r="ALP306" s="100"/>
      <c r="ALQ306" s="100"/>
      <c r="ALR306" s="100"/>
      <c r="ALS306" s="100"/>
      <c r="ALT306" s="100"/>
      <c r="ALU306" s="100"/>
      <c r="ALV306" s="100"/>
      <c r="ALW306" s="100"/>
      <c r="ALX306" s="100"/>
      <c r="ALY306" s="100"/>
      <c r="ALZ306" s="100"/>
      <c r="AMA306" s="100"/>
      <c r="AMB306" s="100"/>
      <c r="AMC306" s="100"/>
      <c r="AMD306" s="100"/>
    </row>
    <row r="307" spans="1:1018" s="127" customFormat="1" ht="11.25" customHeight="1" x14ac:dyDescent="0.15">
      <c r="A307" s="111"/>
      <c r="B307" s="126">
        <v>3</v>
      </c>
      <c r="C307" s="114">
        <v>300</v>
      </c>
      <c r="D307" s="115" t="s">
        <v>443</v>
      </c>
      <c r="E307" s="171">
        <v>465</v>
      </c>
      <c r="F307" s="113">
        <f>ROUND(E307*Valores!$C$2,2)</f>
        <v>45479.79</v>
      </c>
      <c r="G307" s="169">
        <v>0</v>
      </c>
      <c r="H307" s="113">
        <f>ROUND(G307*Valores!$C$2,2)</f>
        <v>0</v>
      </c>
      <c r="I307" s="169">
        <v>0</v>
      </c>
      <c r="J307" s="113">
        <f>ROUND(I307*Valores!$C$2,2)</f>
        <v>0</v>
      </c>
      <c r="K307" s="169">
        <v>0</v>
      </c>
      <c r="L307" s="113">
        <f>ROUND(K307*Valores!$C$2,2)</f>
        <v>0</v>
      </c>
      <c r="M307" s="113">
        <f>ROUND(IF($H$2=0,IF(AND(A307&lt;&gt;"13-930",A307&lt;&gt;"13-940"),(SUM(F307,H307,J307,L307,W307,S307,Q307)*Valores!$C$4),0),0),2)</f>
        <v>12680.23</v>
      </c>
      <c r="N307" s="113">
        <f t="shared" si="54"/>
        <v>0</v>
      </c>
      <c r="O307" s="113">
        <v>0</v>
      </c>
      <c r="P307" s="113">
        <v>0</v>
      </c>
      <c r="Q307" s="113">
        <f>IF($F$4="NO",IF(Valores!$C$28*B307&gt;Valores!$C$25,Valores!$C$25,Valores!$C$28*B307),IF(Valores!$C$28*B307&gt;Valores!$C$25,Valores!$C$25,Valores!$C$28*B307)/2)</f>
        <v>5241.12</v>
      </c>
      <c r="R307" s="113">
        <v>0</v>
      </c>
      <c r="S307" s="113">
        <f t="shared" si="55"/>
        <v>0</v>
      </c>
      <c r="T307" s="113">
        <v>0</v>
      </c>
      <c r="U307" s="113">
        <v>0</v>
      </c>
      <c r="V307" s="169">
        <v>0</v>
      </c>
      <c r="W307" s="113">
        <f>ROUND(V307*Valores!$C$2,2)</f>
        <v>0</v>
      </c>
      <c r="X307" s="113">
        <v>0</v>
      </c>
      <c r="Y307" s="188">
        <v>0</v>
      </c>
      <c r="Z307" s="113">
        <v>0</v>
      </c>
      <c r="AA307" s="169">
        <v>0</v>
      </c>
      <c r="AB307" s="113">
        <f>ROUND(AA307*Valores!$C$2,2)</f>
        <v>0</v>
      </c>
      <c r="AC307" s="113"/>
      <c r="AD307" s="113">
        <f>SUM(F307,H307,J307,L307,M307,N307,O307,P307,Q307,S307,T307,U307,W307,X307,Z307,AB307,AC307)*Valores!$C$58</f>
        <v>6340.1140000000014</v>
      </c>
      <c r="AE307" s="113">
        <f t="shared" si="49"/>
        <v>69741.254000000015</v>
      </c>
      <c r="AF307" s="113">
        <v>0</v>
      </c>
      <c r="AG307" s="113">
        <f>AE307*Valores!$C$60*Valores!$C$61</f>
        <v>0</v>
      </c>
      <c r="AH307" s="113">
        <f t="shared" si="45"/>
        <v>0</v>
      </c>
      <c r="AI307" s="113">
        <f>AE307*Valores!$C$39</f>
        <v>-7671.537940000002</v>
      </c>
      <c r="AJ307" s="113">
        <f>IF(AE307&lt;Valores!$E$40,-0.02,IF(AE307&lt;Valores!$F$40,-0.03,-0.04))*AE307</f>
        <v>-1394.8250800000003</v>
      </c>
      <c r="AK307" s="113">
        <f>AE307*Valores!$C$42</f>
        <v>-3835.768970000001</v>
      </c>
      <c r="AL307" s="113">
        <v>0</v>
      </c>
      <c r="AM307" s="113">
        <v>0</v>
      </c>
      <c r="AN307" s="113">
        <f t="shared" si="50"/>
        <v>56839.122010000014</v>
      </c>
      <c r="AO307" s="113">
        <f t="shared" si="44"/>
        <v>-7671.537940000002</v>
      </c>
      <c r="AP307" s="113">
        <f t="shared" si="51"/>
        <v>-1394.8250800000003</v>
      </c>
      <c r="AQ307" s="113">
        <f>AE307*Valores!$C$43</f>
        <v>-1883.0138580000005</v>
      </c>
      <c r="AR307" s="113">
        <f>AE307*Valores!$C$44</f>
        <v>-209.22376200000005</v>
      </c>
      <c r="AS307" s="113">
        <f t="shared" si="46"/>
        <v>58582.653360000011</v>
      </c>
      <c r="AT307" s="113">
        <f>AE307*Valores!$C$46</f>
        <v>11158.600640000002</v>
      </c>
      <c r="AU307" s="113">
        <f>AE307*Valores!$C$47</f>
        <v>4881.8877800000018</v>
      </c>
      <c r="AV307" s="113">
        <f>AE307*Valores!$C$48</f>
        <v>697.41254000000015</v>
      </c>
      <c r="AW307" s="113">
        <f>AE307*Valores!$C$50</f>
        <v>2440.9438900000009</v>
      </c>
      <c r="AX307" s="113">
        <f>AE307*Valores!$C$52</f>
        <v>3766.027716000001</v>
      </c>
      <c r="AY307" s="113">
        <f>AE307*Valores!$C$51</f>
        <v>418.4475240000001</v>
      </c>
      <c r="AZ307" s="114"/>
      <c r="BA307" s="114"/>
      <c r="BB307" s="111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00"/>
      <c r="FK307" s="100"/>
      <c r="FL307" s="100"/>
      <c r="FM307" s="100"/>
      <c r="FN307" s="100"/>
      <c r="FO307" s="100"/>
      <c r="FP307" s="100"/>
      <c r="FQ307" s="100"/>
      <c r="FR307" s="100"/>
      <c r="FS307" s="100"/>
      <c r="FT307" s="100"/>
      <c r="FU307" s="100"/>
      <c r="FV307" s="100"/>
      <c r="FW307" s="100"/>
      <c r="FX307" s="100"/>
      <c r="FY307" s="100"/>
      <c r="FZ307" s="100"/>
      <c r="GA307" s="100"/>
      <c r="GB307" s="100"/>
      <c r="GC307" s="100"/>
      <c r="GD307" s="100"/>
      <c r="GE307" s="100"/>
      <c r="GF307" s="100"/>
      <c r="GG307" s="100"/>
      <c r="GH307" s="100"/>
      <c r="GI307" s="100"/>
      <c r="GJ307" s="100"/>
      <c r="GK307" s="100"/>
      <c r="GL307" s="100"/>
      <c r="GM307" s="100"/>
      <c r="GN307" s="100"/>
      <c r="GO307" s="100"/>
      <c r="GP307" s="100"/>
      <c r="GQ307" s="100"/>
      <c r="GR307" s="100"/>
      <c r="GS307" s="100"/>
      <c r="GT307" s="100"/>
      <c r="GU307" s="100"/>
      <c r="GV307" s="100"/>
      <c r="GW307" s="100"/>
      <c r="GX307" s="100"/>
      <c r="GY307" s="100"/>
      <c r="GZ307" s="100"/>
      <c r="HA307" s="100"/>
      <c r="HB307" s="100"/>
      <c r="HC307" s="100"/>
      <c r="HD307" s="100"/>
      <c r="HE307" s="100"/>
      <c r="HF307" s="100"/>
      <c r="HG307" s="100"/>
      <c r="HH307" s="100"/>
      <c r="HI307" s="100"/>
      <c r="HJ307" s="100"/>
      <c r="HK307" s="100"/>
      <c r="HL307" s="100"/>
      <c r="HM307" s="100"/>
      <c r="HN307" s="100"/>
      <c r="HO307" s="100"/>
      <c r="HP307" s="100"/>
      <c r="HQ307" s="100"/>
      <c r="HR307" s="100"/>
      <c r="HS307" s="100"/>
      <c r="HT307" s="100"/>
      <c r="HU307" s="100"/>
      <c r="HV307" s="100"/>
      <c r="HW307" s="100"/>
      <c r="HX307" s="100"/>
      <c r="HY307" s="100"/>
      <c r="HZ307" s="100"/>
      <c r="IA307" s="100"/>
      <c r="IB307" s="100"/>
      <c r="IC307" s="100"/>
      <c r="ID307" s="100"/>
      <c r="IE307" s="100"/>
      <c r="IF307" s="100"/>
      <c r="IG307" s="100"/>
      <c r="IH307" s="100"/>
      <c r="II307" s="100"/>
      <c r="IJ307" s="100"/>
      <c r="IK307" s="100"/>
      <c r="IL307" s="100"/>
      <c r="IM307" s="100"/>
      <c r="IN307" s="100"/>
      <c r="IO307" s="100"/>
      <c r="IP307" s="100"/>
      <c r="IQ307" s="100"/>
      <c r="IR307" s="100"/>
      <c r="IS307" s="100"/>
      <c r="IT307" s="100"/>
      <c r="IU307" s="100"/>
      <c r="IV307" s="100"/>
      <c r="IW307" s="100"/>
      <c r="IX307" s="100"/>
      <c r="IY307" s="100"/>
      <c r="IZ307" s="100"/>
      <c r="JA307" s="100"/>
      <c r="JB307" s="100"/>
      <c r="JC307" s="100"/>
      <c r="JD307" s="100"/>
      <c r="JE307" s="100"/>
      <c r="JF307" s="100"/>
      <c r="JG307" s="100"/>
      <c r="JH307" s="100"/>
      <c r="JI307" s="100"/>
      <c r="JJ307" s="100"/>
      <c r="JK307" s="100"/>
      <c r="JL307" s="100"/>
      <c r="JM307" s="100"/>
      <c r="JN307" s="100"/>
      <c r="JO307" s="100"/>
      <c r="JP307" s="100"/>
      <c r="JQ307" s="100"/>
      <c r="JR307" s="100"/>
      <c r="JS307" s="100"/>
      <c r="JT307" s="100"/>
      <c r="JU307" s="100"/>
      <c r="JV307" s="100"/>
      <c r="JW307" s="100"/>
      <c r="JX307" s="100"/>
      <c r="JY307" s="100"/>
      <c r="JZ307" s="100"/>
      <c r="KA307" s="100"/>
      <c r="KB307" s="100"/>
      <c r="KC307" s="100"/>
      <c r="KD307" s="100"/>
      <c r="KE307" s="100"/>
      <c r="KF307" s="100"/>
      <c r="KG307" s="100"/>
      <c r="KH307" s="100"/>
      <c r="KI307" s="100"/>
      <c r="KJ307" s="100"/>
      <c r="KK307" s="100"/>
      <c r="KL307" s="100"/>
      <c r="KM307" s="100"/>
      <c r="KN307" s="100"/>
      <c r="KO307" s="100"/>
      <c r="KP307" s="100"/>
      <c r="KQ307" s="100"/>
      <c r="KR307" s="100"/>
      <c r="KS307" s="100"/>
      <c r="KT307" s="100"/>
      <c r="KU307" s="100"/>
      <c r="KV307" s="100"/>
      <c r="KW307" s="100"/>
      <c r="KX307" s="100"/>
      <c r="KY307" s="100"/>
      <c r="KZ307" s="100"/>
      <c r="LA307" s="100"/>
      <c r="LB307" s="100"/>
      <c r="LC307" s="100"/>
      <c r="LD307" s="100"/>
      <c r="LE307" s="100"/>
      <c r="LF307" s="100"/>
      <c r="LG307" s="100"/>
      <c r="LH307" s="100"/>
      <c r="LI307" s="100"/>
      <c r="LJ307" s="100"/>
      <c r="LK307" s="100"/>
      <c r="LL307" s="100"/>
      <c r="LM307" s="100"/>
      <c r="LN307" s="100"/>
      <c r="LO307" s="100"/>
      <c r="LP307" s="100"/>
      <c r="LQ307" s="100"/>
      <c r="LR307" s="100"/>
      <c r="LS307" s="100"/>
      <c r="LT307" s="100"/>
      <c r="LU307" s="100"/>
      <c r="LV307" s="100"/>
      <c r="LW307" s="100"/>
      <c r="LX307" s="100"/>
      <c r="LY307" s="100"/>
      <c r="LZ307" s="100"/>
      <c r="MA307" s="100"/>
      <c r="MB307" s="100"/>
      <c r="MC307" s="100"/>
      <c r="MD307" s="100"/>
      <c r="ME307" s="100"/>
      <c r="MF307" s="100"/>
      <c r="MG307" s="100"/>
      <c r="MH307" s="100"/>
      <c r="MI307" s="100"/>
      <c r="MJ307" s="100"/>
      <c r="MK307" s="100"/>
      <c r="ML307" s="100"/>
      <c r="MM307" s="100"/>
      <c r="MN307" s="100"/>
      <c r="MO307" s="100"/>
      <c r="MP307" s="100"/>
      <c r="MQ307" s="100"/>
      <c r="MR307" s="100"/>
      <c r="MS307" s="100"/>
      <c r="MT307" s="100"/>
      <c r="MU307" s="100"/>
      <c r="MV307" s="100"/>
      <c r="MW307" s="100"/>
      <c r="MX307" s="100"/>
      <c r="MY307" s="100"/>
      <c r="MZ307" s="100"/>
      <c r="NA307" s="100"/>
      <c r="NB307" s="100"/>
      <c r="NC307" s="100"/>
      <c r="ND307" s="100"/>
      <c r="NE307" s="100"/>
      <c r="NF307" s="100"/>
      <c r="NG307" s="100"/>
      <c r="NH307" s="100"/>
      <c r="NI307" s="100"/>
      <c r="NJ307" s="100"/>
      <c r="NK307" s="100"/>
      <c r="NL307" s="100"/>
      <c r="NM307" s="100"/>
      <c r="NN307" s="100"/>
      <c r="NO307" s="100"/>
      <c r="NP307" s="100"/>
      <c r="NQ307" s="100"/>
      <c r="NR307" s="100"/>
      <c r="NS307" s="100"/>
      <c r="NT307" s="100"/>
      <c r="NU307" s="100"/>
      <c r="NV307" s="100"/>
      <c r="NW307" s="100"/>
      <c r="NX307" s="100"/>
      <c r="NY307" s="100"/>
      <c r="NZ307" s="100"/>
      <c r="OA307" s="100"/>
      <c r="OB307" s="100"/>
      <c r="OC307" s="100"/>
      <c r="OD307" s="100"/>
      <c r="OE307" s="100"/>
      <c r="OF307" s="100"/>
      <c r="OG307" s="100"/>
      <c r="OH307" s="100"/>
      <c r="OI307" s="100"/>
      <c r="OJ307" s="100"/>
      <c r="OK307" s="100"/>
      <c r="OL307" s="100"/>
      <c r="OM307" s="100"/>
      <c r="ON307" s="100"/>
      <c r="OO307" s="100"/>
      <c r="OP307" s="100"/>
      <c r="OQ307" s="100"/>
      <c r="OR307" s="100"/>
      <c r="OS307" s="100"/>
      <c r="OT307" s="100"/>
      <c r="OU307" s="100"/>
      <c r="OV307" s="100"/>
      <c r="OW307" s="100"/>
      <c r="OX307" s="100"/>
      <c r="OY307" s="100"/>
      <c r="OZ307" s="100"/>
      <c r="PA307" s="100"/>
      <c r="PB307" s="100"/>
      <c r="PC307" s="100"/>
      <c r="PD307" s="100"/>
      <c r="PE307" s="100"/>
      <c r="PF307" s="100"/>
      <c r="PG307" s="100"/>
      <c r="PH307" s="100"/>
      <c r="PI307" s="100"/>
      <c r="PJ307" s="100"/>
      <c r="PK307" s="100"/>
      <c r="PL307" s="100"/>
      <c r="PM307" s="100"/>
      <c r="PN307" s="100"/>
      <c r="PO307" s="100"/>
      <c r="PP307" s="100"/>
      <c r="PQ307" s="100"/>
      <c r="PR307" s="100"/>
      <c r="PS307" s="100"/>
      <c r="PT307" s="100"/>
      <c r="PU307" s="100"/>
      <c r="PV307" s="100"/>
      <c r="PW307" s="100"/>
      <c r="PX307" s="100"/>
      <c r="PY307" s="100"/>
      <c r="PZ307" s="100"/>
      <c r="QA307" s="100"/>
      <c r="QB307" s="100"/>
      <c r="QC307" s="100"/>
      <c r="QD307" s="100"/>
      <c r="QE307" s="100"/>
      <c r="QF307" s="100"/>
      <c r="QG307" s="100"/>
      <c r="QH307" s="100"/>
      <c r="QI307" s="100"/>
      <c r="QJ307" s="100"/>
      <c r="QK307" s="100"/>
      <c r="QL307" s="100"/>
      <c r="QM307" s="100"/>
      <c r="QN307" s="100"/>
      <c r="QO307" s="100"/>
      <c r="QP307" s="100"/>
      <c r="QQ307" s="100"/>
      <c r="QR307" s="100"/>
      <c r="QS307" s="100"/>
      <c r="QT307" s="100"/>
      <c r="QU307" s="100"/>
      <c r="QV307" s="100"/>
      <c r="QW307" s="100"/>
      <c r="QX307" s="100"/>
      <c r="QY307" s="100"/>
      <c r="QZ307" s="100"/>
      <c r="RA307" s="100"/>
      <c r="RB307" s="100"/>
      <c r="RC307" s="100"/>
      <c r="RD307" s="100"/>
      <c r="RE307" s="100"/>
      <c r="RF307" s="100"/>
      <c r="RG307" s="100"/>
      <c r="RH307" s="100"/>
      <c r="RI307" s="100"/>
      <c r="RJ307" s="100"/>
      <c r="RK307" s="100"/>
      <c r="RL307" s="100"/>
      <c r="RM307" s="100"/>
      <c r="RN307" s="100"/>
      <c r="RO307" s="100"/>
      <c r="RP307" s="100"/>
      <c r="RQ307" s="100"/>
      <c r="RR307" s="100"/>
      <c r="RS307" s="100"/>
      <c r="RT307" s="100"/>
      <c r="RU307" s="100"/>
      <c r="RV307" s="100"/>
      <c r="RW307" s="100"/>
      <c r="RX307" s="100"/>
      <c r="RY307" s="100"/>
      <c r="RZ307" s="100"/>
      <c r="SA307" s="100"/>
      <c r="SB307" s="100"/>
      <c r="SC307" s="100"/>
      <c r="SD307" s="100"/>
      <c r="SE307" s="100"/>
      <c r="SF307" s="100"/>
      <c r="SG307" s="100"/>
      <c r="SH307" s="100"/>
      <c r="SI307" s="100"/>
      <c r="SJ307" s="100"/>
      <c r="SK307" s="100"/>
      <c r="SL307" s="100"/>
      <c r="SM307" s="100"/>
      <c r="SN307" s="100"/>
      <c r="SO307" s="100"/>
      <c r="SP307" s="100"/>
      <c r="SQ307" s="100"/>
      <c r="SR307" s="100"/>
      <c r="SS307" s="100"/>
      <c r="ST307" s="100"/>
      <c r="SU307" s="100"/>
      <c r="SV307" s="100"/>
      <c r="SW307" s="100"/>
      <c r="SX307" s="100"/>
      <c r="SY307" s="100"/>
      <c r="SZ307" s="100"/>
      <c r="TA307" s="100"/>
      <c r="TB307" s="100"/>
      <c r="TC307" s="100"/>
      <c r="TD307" s="100"/>
      <c r="TE307" s="100"/>
      <c r="TF307" s="100"/>
      <c r="TG307" s="100"/>
      <c r="TH307" s="100"/>
      <c r="TI307" s="100"/>
      <c r="TJ307" s="100"/>
      <c r="TK307" s="100"/>
      <c r="TL307" s="100"/>
      <c r="TM307" s="100"/>
      <c r="TN307" s="100"/>
      <c r="TO307" s="100"/>
      <c r="TP307" s="100"/>
      <c r="TQ307" s="100"/>
      <c r="TR307" s="100"/>
      <c r="TS307" s="100"/>
      <c r="TT307" s="100"/>
      <c r="TU307" s="100"/>
      <c r="TV307" s="100"/>
      <c r="TW307" s="100"/>
      <c r="TX307" s="100"/>
      <c r="TY307" s="100"/>
      <c r="TZ307" s="100"/>
      <c r="UA307" s="100"/>
      <c r="UB307" s="100"/>
      <c r="UC307" s="100"/>
      <c r="UD307" s="100"/>
      <c r="UE307" s="100"/>
      <c r="UF307" s="100"/>
      <c r="UG307" s="100"/>
      <c r="UH307" s="100"/>
      <c r="UI307" s="100"/>
      <c r="UJ307" s="100"/>
      <c r="UK307" s="100"/>
      <c r="UL307" s="100"/>
      <c r="UM307" s="100"/>
      <c r="UN307" s="100"/>
      <c r="UO307" s="100"/>
      <c r="UP307" s="100"/>
      <c r="UQ307" s="100"/>
      <c r="UR307" s="100"/>
      <c r="US307" s="100"/>
      <c r="UT307" s="100"/>
      <c r="UU307" s="100"/>
      <c r="UV307" s="100"/>
      <c r="UW307" s="100"/>
      <c r="UX307" s="100"/>
      <c r="UY307" s="100"/>
      <c r="UZ307" s="100"/>
      <c r="VA307" s="100"/>
      <c r="VB307" s="100"/>
      <c r="VC307" s="100"/>
      <c r="VD307" s="100"/>
      <c r="VE307" s="100"/>
      <c r="VF307" s="100"/>
      <c r="VG307" s="100"/>
      <c r="VH307" s="100"/>
      <c r="VI307" s="100"/>
      <c r="VJ307" s="100"/>
      <c r="VK307" s="100"/>
      <c r="VL307" s="100"/>
      <c r="VM307" s="100"/>
      <c r="VN307" s="100"/>
      <c r="VO307" s="100"/>
      <c r="VP307" s="100"/>
      <c r="VQ307" s="100"/>
      <c r="VR307" s="100"/>
      <c r="VS307" s="100"/>
      <c r="VT307" s="100"/>
      <c r="VU307" s="100"/>
      <c r="VV307" s="100"/>
      <c r="VW307" s="100"/>
      <c r="VX307" s="100"/>
      <c r="VY307" s="100"/>
      <c r="VZ307" s="100"/>
      <c r="WA307" s="100"/>
      <c r="WB307" s="100"/>
      <c r="WC307" s="100"/>
      <c r="WD307" s="100"/>
      <c r="WE307" s="100"/>
      <c r="WF307" s="100"/>
      <c r="WG307" s="100"/>
      <c r="WH307" s="100"/>
      <c r="WI307" s="100"/>
      <c r="WJ307" s="100"/>
      <c r="WK307" s="100"/>
      <c r="WL307" s="100"/>
      <c r="WM307" s="100"/>
      <c r="WN307" s="100"/>
      <c r="WO307" s="100"/>
      <c r="WP307" s="100"/>
      <c r="WQ307" s="100"/>
      <c r="WR307" s="100"/>
      <c r="WS307" s="100"/>
      <c r="WT307" s="100"/>
      <c r="WU307" s="100"/>
      <c r="WV307" s="100"/>
      <c r="WW307" s="100"/>
      <c r="WX307" s="100"/>
      <c r="WY307" s="100"/>
      <c r="WZ307" s="100"/>
      <c r="XA307" s="100"/>
      <c r="XB307" s="100"/>
      <c r="XC307" s="100"/>
      <c r="XD307" s="100"/>
      <c r="XE307" s="100"/>
      <c r="XF307" s="100"/>
      <c r="XG307" s="100"/>
      <c r="XH307" s="100"/>
      <c r="XI307" s="100"/>
      <c r="XJ307" s="100"/>
      <c r="XK307" s="100"/>
      <c r="XL307" s="100"/>
      <c r="XM307" s="100"/>
      <c r="XN307" s="100"/>
      <c r="XO307" s="100"/>
      <c r="XP307" s="100"/>
      <c r="XQ307" s="100"/>
      <c r="XR307" s="100"/>
      <c r="XS307" s="100"/>
      <c r="XT307" s="100"/>
      <c r="XU307" s="100"/>
      <c r="XV307" s="100"/>
      <c r="XW307" s="100"/>
      <c r="XX307" s="100"/>
      <c r="XY307" s="100"/>
      <c r="XZ307" s="100"/>
      <c r="YA307" s="100"/>
      <c r="YB307" s="100"/>
      <c r="YC307" s="100"/>
      <c r="YD307" s="100"/>
      <c r="YE307" s="100"/>
      <c r="YF307" s="100"/>
      <c r="YG307" s="100"/>
      <c r="YH307" s="100"/>
      <c r="YI307" s="100"/>
      <c r="YJ307" s="100"/>
      <c r="YK307" s="100"/>
      <c r="YL307" s="100"/>
      <c r="YM307" s="100"/>
      <c r="YN307" s="100"/>
      <c r="YO307" s="100"/>
      <c r="YP307" s="100"/>
      <c r="YQ307" s="100"/>
      <c r="YR307" s="100"/>
      <c r="YS307" s="100"/>
      <c r="YT307" s="100"/>
      <c r="YU307" s="100"/>
      <c r="YV307" s="100"/>
      <c r="YW307" s="100"/>
      <c r="YX307" s="100"/>
      <c r="YY307" s="100"/>
      <c r="YZ307" s="100"/>
      <c r="ZA307" s="100"/>
      <c r="ZB307" s="100"/>
      <c r="ZC307" s="100"/>
      <c r="ZD307" s="100"/>
      <c r="ZE307" s="100"/>
      <c r="ZF307" s="100"/>
      <c r="ZG307" s="100"/>
      <c r="ZH307" s="100"/>
      <c r="ZI307" s="100"/>
      <c r="ZJ307" s="100"/>
      <c r="ZK307" s="100"/>
      <c r="ZL307" s="100"/>
      <c r="ZM307" s="100"/>
      <c r="ZN307" s="100"/>
      <c r="ZO307" s="100"/>
      <c r="ZP307" s="100"/>
      <c r="ZQ307" s="100"/>
      <c r="ZR307" s="100"/>
      <c r="ZS307" s="100"/>
      <c r="ZT307" s="100"/>
      <c r="ZU307" s="100"/>
      <c r="ZV307" s="100"/>
      <c r="ZW307" s="100"/>
      <c r="ZX307" s="100"/>
      <c r="ZY307" s="100"/>
      <c r="ZZ307" s="100"/>
      <c r="AAA307" s="100"/>
      <c r="AAB307" s="100"/>
      <c r="AAC307" s="100"/>
      <c r="AAD307" s="100"/>
      <c r="AAE307" s="100"/>
      <c r="AAF307" s="100"/>
      <c r="AAG307" s="100"/>
      <c r="AAH307" s="100"/>
      <c r="AAI307" s="100"/>
      <c r="AAJ307" s="100"/>
      <c r="AAK307" s="100"/>
      <c r="AAL307" s="100"/>
      <c r="AAM307" s="100"/>
      <c r="AAN307" s="100"/>
      <c r="AAO307" s="100"/>
      <c r="AAP307" s="100"/>
      <c r="AAQ307" s="100"/>
      <c r="AAR307" s="100"/>
      <c r="AAS307" s="100"/>
      <c r="AAT307" s="100"/>
      <c r="AAU307" s="100"/>
      <c r="AAV307" s="100"/>
      <c r="AAW307" s="100"/>
      <c r="AAX307" s="100"/>
      <c r="AAY307" s="100"/>
      <c r="AAZ307" s="100"/>
      <c r="ABA307" s="100"/>
      <c r="ABB307" s="100"/>
      <c r="ABC307" s="100"/>
      <c r="ABD307" s="100"/>
      <c r="ABE307" s="100"/>
      <c r="ABF307" s="100"/>
      <c r="ABG307" s="100"/>
      <c r="ABH307" s="100"/>
      <c r="ABI307" s="100"/>
      <c r="ABJ307" s="100"/>
      <c r="ABK307" s="100"/>
      <c r="ABL307" s="100"/>
      <c r="ABM307" s="100"/>
      <c r="ABN307" s="100"/>
      <c r="ABO307" s="100"/>
      <c r="ABP307" s="100"/>
      <c r="ABQ307" s="100"/>
      <c r="ABR307" s="100"/>
      <c r="ABS307" s="100"/>
      <c r="ABT307" s="100"/>
      <c r="ABU307" s="100"/>
      <c r="ABV307" s="100"/>
      <c r="ABW307" s="100"/>
      <c r="ABX307" s="100"/>
      <c r="ABY307" s="100"/>
      <c r="ABZ307" s="100"/>
      <c r="ACA307" s="100"/>
      <c r="ACB307" s="100"/>
      <c r="ACC307" s="100"/>
      <c r="ACD307" s="100"/>
      <c r="ACE307" s="100"/>
      <c r="ACF307" s="100"/>
      <c r="ACG307" s="100"/>
      <c r="ACH307" s="100"/>
      <c r="ACI307" s="100"/>
      <c r="ACJ307" s="100"/>
      <c r="ACK307" s="100"/>
      <c r="ACL307" s="100"/>
      <c r="ACM307" s="100"/>
      <c r="ACN307" s="100"/>
      <c r="ACO307" s="100"/>
      <c r="ACP307" s="100"/>
      <c r="ACQ307" s="100"/>
      <c r="ACR307" s="100"/>
      <c r="ACS307" s="100"/>
      <c r="ACT307" s="100"/>
      <c r="ACU307" s="100"/>
      <c r="ACV307" s="100"/>
      <c r="ACW307" s="100"/>
      <c r="ACX307" s="100"/>
      <c r="ACY307" s="100"/>
      <c r="ACZ307" s="100"/>
      <c r="ADA307" s="100"/>
      <c r="ADB307" s="100"/>
      <c r="ADC307" s="100"/>
      <c r="ADD307" s="100"/>
      <c r="ADE307" s="100"/>
      <c r="ADF307" s="100"/>
      <c r="ADG307" s="100"/>
      <c r="ADH307" s="100"/>
      <c r="ADI307" s="100"/>
      <c r="ADJ307" s="100"/>
      <c r="ADK307" s="100"/>
      <c r="ADL307" s="100"/>
      <c r="ADM307" s="100"/>
      <c r="ADN307" s="100"/>
      <c r="ADO307" s="100"/>
      <c r="ADP307" s="100"/>
      <c r="ADQ307" s="100"/>
      <c r="ADR307" s="100"/>
      <c r="ADS307" s="100"/>
      <c r="ADT307" s="100"/>
      <c r="ADU307" s="100"/>
      <c r="ADV307" s="100"/>
      <c r="ADW307" s="100"/>
      <c r="ADX307" s="100"/>
      <c r="ADY307" s="100"/>
      <c r="ADZ307" s="100"/>
      <c r="AEA307" s="100"/>
      <c r="AEB307" s="100"/>
      <c r="AEC307" s="100"/>
      <c r="AED307" s="100"/>
      <c r="AEE307" s="100"/>
      <c r="AEF307" s="100"/>
      <c r="AEG307" s="100"/>
      <c r="AEH307" s="100"/>
      <c r="AEI307" s="100"/>
      <c r="AEJ307" s="100"/>
      <c r="AEK307" s="100"/>
      <c r="AEL307" s="100"/>
      <c r="AEM307" s="100"/>
      <c r="AEN307" s="100"/>
      <c r="AEO307" s="100"/>
      <c r="AEP307" s="100"/>
      <c r="AEQ307" s="100"/>
      <c r="AER307" s="100"/>
      <c r="AES307" s="100"/>
      <c r="AET307" s="100"/>
      <c r="AEU307" s="100"/>
      <c r="AEV307" s="100"/>
      <c r="AEW307" s="100"/>
      <c r="AEX307" s="100"/>
      <c r="AEY307" s="100"/>
      <c r="AEZ307" s="100"/>
      <c r="AFA307" s="100"/>
      <c r="AFB307" s="100"/>
      <c r="AFC307" s="100"/>
      <c r="AFD307" s="100"/>
      <c r="AFE307" s="100"/>
      <c r="AFF307" s="100"/>
      <c r="AFG307" s="100"/>
      <c r="AFH307" s="100"/>
      <c r="AFI307" s="100"/>
      <c r="AFJ307" s="100"/>
      <c r="AFK307" s="100"/>
      <c r="AFL307" s="100"/>
      <c r="AFM307" s="100"/>
      <c r="AFN307" s="100"/>
      <c r="AFO307" s="100"/>
      <c r="AFP307" s="100"/>
      <c r="AFQ307" s="100"/>
      <c r="AFR307" s="100"/>
      <c r="AFS307" s="100"/>
      <c r="AFT307" s="100"/>
      <c r="AFU307" s="100"/>
      <c r="AFV307" s="100"/>
      <c r="AFW307" s="100"/>
      <c r="AFX307" s="100"/>
      <c r="AFY307" s="100"/>
      <c r="AFZ307" s="100"/>
      <c r="AGA307" s="100"/>
      <c r="AGB307" s="100"/>
      <c r="AGC307" s="100"/>
      <c r="AGD307" s="100"/>
      <c r="AGE307" s="100"/>
      <c r="AGF307" s="100"/>
      <c r="AGG307" s="100"/>
      <c r="AGH307" s="100"/>
      <c r="AGI307" s="100"/>
      <c r="AGJ307" s="100"/>
      <c r="AGK307" s="100"/>
      <c r="AGL307" s="100"/>
      <c r="AGM307" s="100"/>
      <c r="AGN307" s="100"/>
      <c r="AGO307" s="100"/>
      <c r="AGP307" s="100"/>
      <c r="AGQ307" s="100"/>
      <c r="AGR307" s="100"/>
      <c r="AGS307" s="100"/>
      <c r="AGT307" s="100"/>
      <c r="AGU307" s="100"/>
      <c r="AGV307" s="100"/>
      <c r="AGW307" s="100"/>
      <c r="AGX307" s="100"/>
      <c r="AGY307" s="100"/>
      <c r="AGZ307" s="100"/>
      <c r="AHA307" s="100"/>
      <c r="AHB307" s="100"/>
      <c r="AHC307" s="100"/>
      <c r="AHD307" s="100"/>
      <c r="AHE307" s="100"/>
      <c r="AHF307" s="100"/>
      <c r="AHG307" s="100"/>
      <c r="AHH307" s="100"/>
      <c r="AHI307" s="100"/>
      <c r="AHJ307" s="100"/>
      <c r="AHK307" s="100"/>
      <c r="AHL307" s="100"/>
      <c r="AHM307" s="100"/>
      <c r="AHN307" s="100"/>
      <c r="AHO307" s="100"/>
      <c r="AHP307" s="100"/>
      <c r="AHQ307" s="100"/>
      <c r="AHR307" s="100"/>
      <c r="AHS307" s="100"/>
      <c r="AHT307" s="100"/>
      <c r="AHU307" s="100"/>
      <c r="AHV307" s="100"/>
      <c r="AHW307" s="100"/>
      <c r="AHX307" s="100"/>
      <c r="AHY307" s="100"/>
      <c r="AHZ307" s="100"/>
      <c r="AIA307" s="100"/>
      <c r="AIB307" s="100"/>
      <c r="AIC307" s="100"/>
      <c r="AID307" s="100"/>
      <c r="AIE307" s="100"/>
      <c r="AIF307" s="100"/>
      <c r="AIG307" s="100"/>
      <c r="AIH307" s="100"/>
      <c r="AII307" s="100"/>
      <c r="AIJ307" s="100"/>
      <c r="AIK307" s="100"/>
      <c r="AIL307" s="100"/>
      <c r="AIM307" s="100"/>
      <c r="AIN307" s="100"/>
      <c r="AIO307" s="100"/>
      <c r="AIP307" s="100"/>
      <c r="AIQ307" s="100"/>
      <c r="AIR307" s="100"/>
      <c r="AIS307" s="100"/>
      <c r="AIT307" s="100"/>
      <c r="AIU307" s="100"/>
      <c r="AIV307" s="100"/>
      <c r="AIW307" s="100"/>
      <c r="AIX307" s="100"/>
      <c r="AIY307" s="100"/>
      <c r="AIZ307" s="100"/>
      <c r="AJA307" s="100"/>
      <c r="AJB307" s="100"/>
      <c r="AJC307" s="100"/>
      <c r="AJD307" s="100"/>
      <c r="AJE307" s="100"/>
      <c r="AJF307" s="100"/>
      <c r="AJG307" s="100"/>
      <c r="AJH307" s="100"/>
      <c r="AJI307" s="100"/>
      <c r="AJJ307" s="100"/>
      <c r="AJK307" s="100"/>
      <c r="AJL307" s="100"/>
      <c r="AJM307" s="100"/>
      <c r="AJN307" s="100"/>
      <c r="AJO307" s="100"/>
      <c r="AJP307" s="100"/>
      <c r="AJQ307" s="100"/>
      <c r="AJR307" s="100"/>
      <c r="AJS307" s="100"/>
      <c r="AJT307" s="100"/>
      <c r="AJU307" s="100"/>
      <c r="AJV307" s="100"/>
      <c r="AJW307" s="100"/>
      <c r="AJX307" s="100"/>
      <c r="AJY307" s="100"/>
      <c r="AJZ307" s="100"/>
      <c r="AKA307" s="100"/>
      <c r="AKB307" s="100"/>
      <c r="AKC307" s="100"/>
      <c r="AKD307" s="100"/>
      <c r="AKE307" s="100"/>
      <c r="AKF307" s="100"/>
      <c r="AKG307" s="100"/>
      <c r="AKH307" s="100"/>
      <c r="AKI307" s="100"/>
      <c r="AKJ307" s="100"/>
      <c r="AKK307" s="100"/>
      <c r="AKL307" s="100"/>
      <c r="AKM307" s="100"/>
      <c r="AKN307" s="100"/>
      <c r="AKO307" s="100"/>
      <c r="AKP307" s="100"/>
      <c r="AKQ307" s="100"/>
      <c r="AKR307" s="100"/>
      <c r="AKS307" s="100"/>
      <c r="AKT307" s="100"/>
      <c r="AKU307" s="100"/>
      <c r="AKV307" s="100"/>
      <c r="AKW307" s="100"/>
      <c r="AKX307" s="100"/>
      <c r="AKY307" s="100"/>
      <c r="AKZ307" s="100"/>
      <c r="ALA307" s="100"/>
      <c r="ALB307" s="100"/>
      <c r="ALC307" s="100"/>
      <c r="ALD307" s="100"/>
      <c r="ALE307" s="100"/>
      <c r="ALF307" s="100"/>
      <c r="ALG307" s="100"/>
      <c r="ALH307" s="100"/>
      <c r="ALI307" s="100"/>
      <c r="ALJ307" s="100"/>
      <c r="ALK307" s="100"/>
      <c r="ALL307" s="100"/>
      <c r="ALM307" s="100"/>
      <c r="ALN307" s="100"/>
      <c r="ALO307" s="100"/>
      <c r="ALP307" s="100"/>
      <c r="ALQ307" s="100"/>
      <c r="ALR307" s="100"/>
      <c r="ALS307" s="100"/>
      <c r="ALT307" s="100"/>
      <c r="ALU307" s="100"/>
      <c r="ALV307" s="100"/>
      <c r="ALW307" s="100"/>
      <c r="ALX307" s="100"/>
      <c r="ALY307" s="100"/>
      <c r="ALZ307" s="100"/>
      <c r="AMA307" s="100"/>
      <c r="AMB307" s="100"/>
      <c r="AMC307" s="100"/>
      <c r="AMD307" s="100"/>
    </row>
    <row r="308" spans="1:1018" s="127" customFormat="1" ht="11.25" customHeight="1" x14ac:dyDescent="0.15">
      <c r="A308" s="111"/>
      <c r="B308" s="126">
        <v>4</v>
      </c>
      <c r="C308" s="114">
        <v>301</v>
      </c>
      <c r="D308" s="115" t="s">
        <v>444</v>
      </c>
      <c r="E308" s="171">
        <v>620</v>
      </c>
      <c r="F308" s="113">
        <f>ROUND(E308*Valores!$C$2,2)</f>
        <v>60639.72</v>
      </c>
      <c r="G308" s="169">
        <v>0</v>
      </c>
      <c r="H308" s="113">
        <f>ROUND(G308*Valores!$C$2,2)</f>
        <v>0</v>
      </c>
      <c r="I308" s="169">
        <v>0</v>
      </c>
      <c r="J308" s="113">
        <f>ROUND(I308*Valores!$C$2,2)</f>
        <v>0</v>
      </c>
      <c r="K308" s="169">
        <v>0</v>
      </c>
      <c r="L308" s="113">
        <f>ROUND(K308*Valores!$C$2,2)</f>
        <v>0</v>
      </c>
      <c r="M308" s="113">
        <f>ROUND(IF($H$2=0,IF(AND(A308&lt;&gt;"13-930",A308&lt;&gt;"13-940"),(SUM(F308,H308,J308,L308,W308,S308,Q308)*Valores!$C$4),0),0),2)</f>
        <v>16906.97</v>
      </c>
      <c r="N308" s="113">
        <f t="shared" si="54"/>
        <v>0</v>
      </c>
      <c r="O308" s="113">
        <v>0</v>
      </c>
      <c r="P308" s="113">
        <v>0</v>
      </c>
      <c r="Q308" s="113">
        <f>IF($F$4="NO",IF(Valores!$C$28*B308&gt;Valores!$C$25,Valores!$C$25,Valores!$C$28*B308),IF(Valores!$C$28*B308&gt;Valores!$C$25,Valores!$C$25,Valores!$C$28*B308)/2)</f>
        <v>6988.16</v>
      </c>
      <c r="R308" s="113">
        <v>0</v>
      </c>
      <c r="S308" s="113">
        <f t="shared" si="55"/>
        <v>0</v>
      </c>
      <c r="T308" s="113">
        <v>0</v>
      </c>
      <c r="U308" s="113">
        <v>0</v>
      </c>
      <c r="V308" s="169">
        <v>0</v>
      </c>
      <c r="W308" s="113">
        <f>ROUND(V308*Valores!$C$2,2)</f>
        <v>0</v>
      </c>
      <c r="X308" s="113">
        <v>0</v>
      </c>
      <c r="Y308" s="188">
        <v>0</v>
      </c>
      <c r="Z308" s="113">
        <v>0</v>
      </c>
      <c r="AA308" s="169">
        <v>0</v>
      </c>
      <c r="AB308" s="113">
        <f>ROUND(AA308*Valores!$C$2,2)</f>
        <v>0</v>
      </c>
      <c r="AC308" s="113"/>
      <c r="AD308" s="113">
        <f>SUM(F308,H308,J308,L308,M308,N308,O308,P308,Q308,S308,T308,U308,W308,X308,Z308,AB308,AC308)*Valores!$C$58</f>
        <v>8453.4850000000006</v>
      </c>
      <c r="AE308" s="113">
        <f t="shared" si="49"/>
        <v>92988.335000000006</v>
      </c>
      <c r="AF308" s="113">
        <v>0</v>
      </c>
      <c r="AG308" s="113">
        <f>AE308*Valores!$C$60*Valores!$C$61</f>
        <v>0</v>
      </c>
      <c r="AH308" s="113">
        <f t="shared" si="45"/>
        <v>0</v>
      </c>
      <c r="AI308" s="113">
        <f>AE308*Valores!$C$39</f>
        <v>-10228.716850000001</v>
      </c>
      <c r="AJ308" s="113">
        <f>IF(AE308&lt;Valores!$E$40,-0.02,IF(AE308&lt;Valores!$F$40,-0.03,-0.04))*AE308</f>
        <v>-1859.7667000000001</v>
      </c>
      <c r="AK308" s="113">
        <f>AE308*Valores!$C$42</f>
        <v>-5114.3584250000004</v>
      </c>
      <c r="AL308" s="113">
        <v>0</v>
      </c>
      <c r="AM308" s="113">
        <v>0</v>
      </c>
      <c r="AN308" s="113">
        <f t="shared" si="50"/>
        <v>75785.493025000003</v>
      </c>
      <c r="AO308" s="113">
        <f t="shared" si="44"/>
        <v>-10228.716850000001</v>
      </c>
      <c r="AP308" s="113">
        <f t="shared" si="51"/>
        <v>-1859.7667000000001</v>
      </c>
      <c r="AQ308" s="113">
        <f>AE308*Valores!$C$43</f>
        <v>-2510.6850450000002</v>
      </c>
      <c r="AR308" s="113">
        <f>AE308*Valores!$C$44</f>
        <v>-278.96500500000002</v>
      </c>
      <c r="AS308" s="113">
        <f t="shared" si="46"/>
        <v>78110.201400000005</v>
      </c>
      <c r="AT308" s="113">
        <f>AE308*Valores!$C$46</f>
        <v>14878.133600000001</v>
      </c>
      <c r="AU308" s="113">
        <f>AE308*Valores!$C$47</f>
        <v>6509.1834500000014</v>
      </c>
      <c r="AV308" s="113">
        <f>AE308*Valores!$C$48</f>
        <v>929.88335000000006</v>
      </c>
      <c r="AW308" s="113">
        <f>AE308*Valores!$C$50</f>
        <v>3254.5917250000007</v>
      </c>
      <c r="AX308" s="113">
        <f>AE308*Valores!$C$52</f>
        <v>5021.3700900000003</v>
      </c>
      <c r="AY308" s="113">
        <f>AE308*Valores!$C$51</f>
        <v>557.93001000000004</v>
      </c>
      <c r="AZ308" s="114"/>
      <c r="BA308" s="114"/>
      <c r="BB308" s="111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  <c r="GD308" s="100"/>
      <c r="GE308" s="100"/>
      <c r="GF308" s="100"/>
      <c r="GG308" s="100"/>
      <c r="GH308" s="100"/>
      <c r="GI308" s="100"/>
      <c r="GJ308" s="100"/>
      <c r="GK308" s="100"/>
      <c r="GL308" s="100"/>
      <c r="GM308" s="100"/>
      <c r="GN308" s="100"/>
      <c r="GO308" s="100"/>
      <c r="GP308" s="100"/>
      <c r="GQ308" s="100"/>
      <c r="GR308" s="100"/>
      <c r="GS308" s="100"/>
      <c r="GT308" s="100"/>
      <c r="GU308" s="100"/>
      <c r="GV308" s="100"/>
      <c r="GW308" s="100"/>
      <c r="GX308" s="100"/>
      <c r="GY308" s="100"/>
      <c r="GZ308" s="100"/>
      <c r="HA308" s="100"/>
      <c r="HB308" s="100"/>
      <c r="HC308" s="100"/>
      <c r="HD308" s="100"/>
      <c r="HE308" s="100"/>
      <c r="HF308" s="100"/>
      <c r="HG308" s="100"/>
      <c r="HH308" s="100"/>
      <c r="HI308" s="100"/>
      <c r="HJ308" s="100"/>
      <c r="HK308" s="100"/>
      <c r="HL308" s="100"/>
      <c r="HM308" s="100"/>
      <c r="HN308" s="100"/>
      <c r="HO308" s="100"/>
      <c r="HP308" s="100"/>
      <c r="HQ308" s="100"/>
      <c r="HR308" s="100"/>
      <c r="HS308" s="100"/>
      <c r="HT308" s="100"/>
      <c r="HU308" s="100"/>
      <c r="HV308" s="100"/>
      <c r="HW308" s="100"/>
      <c r="HX308" s="100"/>
      <c r="HY308" s="100"/>
      <c r="HZ308" s="100"/>
      <c r="IA308" s="100"/>
      <c r="IB308" s="100"/>
      <c r="IC308" s="100"/>
      <c r="ID308" s="100"/>
      <c r="IE308" s="100"/>
      <c r="IF308" s="100"/>
      <c r="IG308" s="100"/>
      <c r="IH308" s="100"/>
      <c r="II308" s="100"/>
      <c r="IJ308" s="100"/>
      <c r="IK308" s="100"/>
      <c r="IL308" s="100"/>
      <c r="IM308" s="100"/>
      <c r="IN308" s="100"/>
      <c r="IO308" s="100"/>
      <c r="IP308" s="100"/>
      <c r="IQ308" s="100"/>
      <c r="IR308" s="100"/>
      <c r="IS308" s="100"/>
      <c r="IT308" s="100"/>
      <c r="IU308" s="100"/>
      <c r="IV308" s="100"/>
      <c r="IW308" s="100"/>
      <c r="IX308" s="100"/>
      <c r="IY308" s="100"/>
      <c r="IZ308" s="100"/>
      <c r="JA308" s="100"/>
      <c r="JB308" s="100"/>
      <c r="JC308" s="100"/>
      <c r="JD308" s="100"/>
      <c r="JE308" s="100"/>
      <c r="JF308" s="100"/>
      <c r="JG308" s="100"/>
      <c r="JH308" s="100"/>
      <c r="JI308" s="100"/>
      <c r="JJ308" s="100"/>
      <c r="JK308" s="100"/>
      <c r="JL308" s="100"/>
      <c r="JM308" s="100"/>
      <c r="JN308" s="100"/>
      <c r="JO308" s="100"/>
      <c r="JP308" s="100"/>
      <c r="JQ308" s="100"/>
      <c r="JR308" s="100"/>
      <c r="JS308" s="100"/>
      <c r="JT308" s="100"/>
      <c r="JU308" s="100"/>
      <c r="JV308" s="100"/>
      <c r="JW308" s="100"/>
      <c r="JX308" s="100"/>
      <c r="JY308" s="100"/>
      <c r="JZ308" s="100"/>
      <c r="KA308" s="100"/>
      <c r="KB308" s="100"/>
      <c r="KC308" s="100"/>
      <c r="KD308" s="100"/>
      <c r="KE308" s="100"/>
      <c r="KF308" s="100"/>
      <c r="KG308" s="100"/>
      <c r="KH308" s="100"/>
      <c r="KI308" s="100"/>
      <c r="KJ308" s="100"/>
      <c r="KK308" s="100"/>
      <c r="KL308" s="100"/>
      <c r="KM308" s="100"/>
      <c r="KN308" s="100"/>
      <c r="KO308" s="100"/>
      <c r="KP308" s="100"/>
      <c r="KQ308" s="100"/>
      <c r="KR308" s="100"/>
      <c r="KS308" s="100"/>
      <c r="KT308" s="100"/>
      <c r="KU308" s="100"/>
      <c r="KV308" s="100"/>
      <c r="KW308" s="100"/>
      <c r="KX308" s="100"/>
      <c r="KY308" s="100"/>
      <c r="KZ308" s="100"/>
      <c r="LA308" s="100"/>
      <c r="LB308" s="100"/>
      <c r="LC308" s="100"/>
      <c r="LD308" s="100"/>
      <c r="LE308" s="100"/>
      <c r="LF308" s="100"/>
      <c r="LG308" s="100"/>
      <c r="LH308" s="100"/>
      <c r="LI308" s="100"/>
      <c r="LJ308" s="100"/>
      <c r="LK308" s="100"/>
      <c r="LL308" s="100"/>
      <c r="LM308" s="100"/>
      <c r="LN308" s="100"/>
      <c r="LO308" s="100"/>
      <c r="LP308" s="100"/>
      <c r="LQ308" s="100"/>
      <c r="LR308" s="100"/>
      <c r="LS308" s="100"/>
      <c r="LT308" s="100"/>
      <c r="LU308" s="100"/>
      <c r="LV308" s="100"/>
      <c r="LW308" s="100"/>
      <c r="LX308" s="100"/>
      <c r="LY308" s="100"/>
      <c r="LZ308" s="100"/>
      <c r="MA308" s="100"/>
      <c r="MB308" s="100"/>
      <c r="MC308" s="100"/>
      <c r="MD308" s="100"/>
      <c r="ME308" s="100"/>
      <c r="MF308" s="100"/>
      <c r="MG308" s="100"/>
      <c r="MH308" s="100"/>
      <c r="MI308" s="100"/>
      <c r="MJ308" s="100"/>
      <c r="MK308" s="100"/>
      <c r="ML308" s="100"/>
      <c r="MM308" s="100"/>
      <c r="MN308" s="100"/>
      <c r="MO308" s="100"/>
      <c r="MP308" s="100"/>
      <c r="MQ308" s="100"/>
      <c r="MR308" s="100"/>
      <c r="MS308" s="100"/>
      <c r="MT308" s="100"/>
      <c r="MU308" s="100"/>
      <c r="MV308" s="100"/>
      <c r="MW308" s="100"/>
      <c r="MX308" s="100"/>
      <c r="MY308" s="100"/>
      <c r="MZ308" s="100"/>
      <c r="NA308" s="100"/>
      <c r="NB308" s="100"/>
      <c r="NC308" s="100"/>
      <c r="ND308" s="100"/>
      <c r="NE308" s="100"/>
      <c r="NF308" s="100"/>
      <c r="NG308" s="100"/>
      <c r="NH308" s="100"/>
      <c r="NI308" s="100"/>
      <c r="NJ308" s="100"/>
      <c r="NK308" s="100"/>
      <c r="NL308" s="100"/>
      <c r="NM308" s="100"/>
      <c r="NN308" s="100"/>
      <c r="NO308" s="100"/>
      <c r="NP308" s="100"/>
      <c r="NQ308" s="100"/>
      <c r="NR308" s="100"/>
      <c r="NS308" s="100"/>
      <c r="NT308" s="100"/>
      <c r="NU308" s="100"/>
      <c r="NV308" s="100"/>
      <c r="NW308" s="100"/>
      <c r="NX308" s="100"/>
      <c r="NY308" s="100"/>
      <c r="NZ308" s="100"/>
      <c r="OA308" s="100"/>
      <c r="OB308" s="100"/>
      <c r="OC308" s="100"/>
      <c r="OD308" s="100"/>
      <c r="OE308" s="100"/>
      <c r="OF308" s="100"/>
      <c r="OG308" s="100"/>
      <c r="OH308" s="100"/>
      <c r="OI308" s="100"/>
      <c r="OJ308" s="100"/>
      <c r="OK308" s="100"/>
      <c r="OL308" s="100"/>
      <c r="OM308" s="100"/>
      <c r="ON308" s="100"/>
      <c r="OO308" s="100"/>
      <c r="OP308" s="100"/>
      <c r="OQ308" s="100"/>
      <c r="OR308" s="100"/>
      <c r="OS308" s="100"/>
      <c r="OT308" s="100"/>
      <c r="OU308" s="100"/>
      <c r="OV308" s="100"/>
      <c r="OW308" s="100"/>
      <c r="OX308" s="100"/>
      <c r="OY308" s="100"/>
      <c r="OZ308" s="100"/>
      <c r="PA308" s="100"/>
      <c r="PB308" s="100"/>
      <c r="PC308" s="100"/>
      <c r="PD308" s="100"/>
      <c r="PE308" s="100"/>
      <c r="PF308" s="100"/>
      <c r="PG308" s="100"/>
      <c r="PH308" s="100"/>
      <c r="PI308" s="100"/>
      <c r="PJ308" s="100"/>
      <c r="PK308" s="100"/>
      <c r="PL308" s="100"/>
      <c r="PM308" s="100"/>
      <c r="PN308" s="100"/>
      <c r="PO308" s="100"/>
      <c r="PP308" s="100"/>
      <c r="PQ308" s="100"/>
      <c r="PR308" s="100"/>
      <c r="PS308" s="100"/>
      <c r="PT308" s="100"/>
      <c r="PU308" s="100"/>
      <c r="PV308" s="100"/>
      <c r="PW308" s="100"/>
      <c r="PX308" s="100"/>
      <c r="PY308" s="100"/>
      <c r="PZ308" s="100"/>
      <c r="QA308" s="100"/>
      <c r="QB308" s="100"/>
      <c r="QC308" s="100"/>
      <c r="QD308" s="100"/>
      <c r="QE308" s="100"/>
      <c r="QF308" s="100"/>
      <c r="QG308" s="100"/>
      <c r="QH308" s="100"/>
      <c r="QI308" s="100"/>
      <c r="QJ308" s="100"/>
      <c r="QK308" s="100"/>
      <c r="QL308" s="100"/>
      <c r="QM308" s="100"/>
      <c r="QN308" s="100"/>
      <c r="QO308" s="100"/>
      <c r="QP308" s="100"/>
      <c r="QQ308" s="100"/>
      <c r="QR308" s="100"/>
      <c r="QS308" s="100"/>
      <c r="QT308" s="100"/>
      <c r="QU308" s="100"/>
      <c r="QV308" s="100"/>
      <c r="QW308" s="100"/>
      <c r="QX308" s="100"/>
      <c r="QY308" s="100"/>
      <c r="QZ308" s="100"/>
      <c r="RA308" s="100"/>
      <c r="RB308" s="100"/>
      <c r="RC308" s="100"/>
      <c r="RD308" s="100"/>
      <c r="RE308" s="100"/>
      <c r="RF308" s="100"/>
      <c r="RG308" s="100"/>
      <c r="RH308" s="100"/>
      <c r="RI308" s="100"/>
      <c r="RJ308" s="100"/>
      <c r="RK308" s="100"/>
      <c r="RL308" s="100"/>
      <c r="RM308" s="100"/>
      <c r="RN308" s="100"/>
      <c r="RO308" s="100"/>
      <c r="RP308" s="100"/>
      <c r="RQ308" s="100"/>
      <c r="RR308" s="100"/>
      <c r="RS308" s="100"/>
      <c r="RT308" s="100"/>
      <c r="RU308" s="100"/>
      <c r="RV308" s="100"/>
      <c r="RW308" s="100"/>
      <c r="RX308" s="100"/>
      <c r="RY308" s="100"/>
      <c r="RZ308" s="100"/>
      <c r="SA308" s="100"/>
      <c r="SB308" s="100"/>
      <c r="SC308" s="100"/>
      <c r="SD308" s="100"/>
      <c r="SE308" s="100"/>
      <c r="SF308" s="100"/>
      <c r="SG308" s="100"/>
      <c r="SH308" s="100"/>
      <c r="SI308" s="100"/>
      <c r="SJ308" s="100"/>
      <c r="SK308" s="100"/>
      <c r="SL308" s="100"/>
      <c r="SM308" s="100"/>
      <c r="SN308" s="100"/>
      <c r="SO308" s="100"/>
      <c r="SP308" s="100"/>
      <c r="SQ308" s="100"/>
      <c r="SR308" s="100"/>
      <c r="SS308" s="100"/>
      <c r="ST308" s="100"/>
      <c r="SU308" s="100"/>
      <c r="SV308" s="100"/>
      <c r="SW308" s="100"/>
      <c r="SX308" s="100"/>
      <c r="SY308" s="100"/>
      <c r="SZ308" s="100"/>
      <c r="TA308" s="100"/>
      <c r="TB308" s="100"/>
      <c r="TC308" s="100"/>
      <c r="TD308" s="100"/>
      <c r="TE308" s="100"/>
      <c r="TF308" s="100"/>
      <c r="TG308" s="100"/>
      <c r="TH308" s="100"/>
      <c r="TI308" s="100"/>
      <c r="TJ308" s="100"/>
      <c r="TK308" s="100"/>
      <c r="TL308" s="100"/>
      <c r="TM308" s="100"/>
      <c r="TN308" s="100"/>
      <c r="TO308" s="100"/>
      <c r="TP308" s="100"/>
      <c r="TQ308" s="100"/>
      <c r="TR308" s="100"/>
      <c r="TS308" s="100"/>
      <c r="TT308" s="100"/>
      <c r="TU308" s="100"/>
      <c r="TV308" s="100"/>
      <c r="TW308" s="100"/>
      <c r="TX308" s="100"/>
      <c r="TY308" s="100"/>
      <c r="TZ308" s="100"/>
      <c r="UA308" s="100"/>
      <c r="UB308" s="100"/>
      <c r="UC308" s="100"/>
      <c r="UD308" s="100"/>
      <c r="UE308" s="100"/>
      <c r="UF308" s="100"/>
      <c r="UG308" s="100"/>
      <c r="UH308" s="100"/>
      <c r="UI308" s="100"/>
      <c r="UJ308" s="100"/>
      <c r="UK308" s="100"/>
      <c r="UL308" s="100"/>
      <c r="UM308" s="100"/>
      <c r="UN308" s="100"/>
      <c r="UO308" s="100"/>
      <c r="UP308" s="100"/>
      <c r="UQ308" s="100"/>
      <c r="UR308" s="100"/>
      <c r="US308" s="100"/>
      <c r="UT308" s="100"/>
      <c r="UU308" s="100"/>
      <c r="UV308" s="100"/>
      <c r="UW308" s="100"/>
      <c r="UX308" s="100"/>
      <c r="UY308" s="100"/>
      <c r="UZ308" s="100"/>
      <c r="VA308" s="100"/>
      <c r="VB308" s="100"/>
      <c r="VC308" s="100"/>
      <c r="VD308" s="100"/>
      <c r="VE308" s="100"/>
      <c r="VF308" s="100"/>
      <c r="VG308" s="100"/>
      <c r="VH308" s="100"/>
      <c r="VI308" s="100"/>
      <c r="VJ308" s="100"/>
      <c r="VK308" s="100"/>
      <c r="VL308" s="100"/>
      <c r="VM308" s="100"/>
      <c r="VN308" s="100"/>
      <c r="VO308" s="100"/>
      <c r="VP308" s="100"/>
      <c r="VQ308" s="100"/>
      <c r="VR308" s="100"/>
      <c r="VS308" s="100"/>
      <c r="VT308" s="100"/>
      <c r="VU308" s="100"/>
      <c r="VV308" s="100"/>
      <c r="VW308" s="100"/>
      <c r="VX308" s="100"/>
      <c r="VY308" s="100"/>
      <c r="VZ308" s="100"/>
      <c r="WA308" s="100"/>
      <c r="WB308" s="100"/>
      <c r="WC308" s="100"/>
      <c r="WD308" s="100"/>
      <c r="WE308" s="100"/>
      <c r="WF308" s="100"/>
      <c r="WG308" s="100"/>
      <c r="WH308" s="100"/>
      <c r="WI308" s="100"/>
      <c r="WJ308" s="100"/>
      <c r="WK308" s="100"/>
      <c r="WL308" s="100"/>
      <c r="WM308" s="100"/>
      <c r="WN308" s="100"/>
      <c r="WO308" s="100"/>
      <c r="WP308" s="100"/>
      <c r="WQ308" s="100"/>
      <c r="WR308" s="100"/>
      <c r="WS308" s="100"/>
      <c r="WT308" s="100"/>
      <c r="WU308" s="100"/>
      <c r="WV308" s="100"/>
      <c r="WW308" s="100"/>
      <c r="WX308" s="100"/>
      <c r="WY308" s="100"/>
      <c r="WZ308" s="100"/>
      <c r="XA308" s="100"/>
      <c r="XB308" s="100"/>
      <c r="XC308" s="100"/>
      <c r="XD308" s="100"/>
      <c r="XE308" s="100"/>
      <c r="XF308" s="100"/>
      <c r="XG308" s="100"/>
      <c r="XH308" s="100"/>
      <c r="XI308" s="100"/>
      <c r="XJ308" s="100"/>
      <c r="XK308" s="100"/>
      <c r="XL308" s="100"/>
      <c r="XM308" s="100"/>
      <c r="XN308" s="100"/>
      <c r="XO308" s="100"/>
      <c r="XP308" s="100"/>
      <c r="XQ308" s="100"/>
      <c r="XR308" s="100"/>
      <c r="XS308" s="100"/>
      <c r="XT308" s="100"/>
      <c r="XU308" s="100"/>
      <c r="XV308" s="100"/>
      <c r="XW308" s="100"/>
      <c r="XX308" s="100"/>
      <c r="XY308" s="100"/>
      <c r="XZ308" s="100"/>
      <c r="YA308" s="100"/>
      <c r="YB308" s="100"/>
      <c r="YC308" s="100"/>
      <c r="YD308" s="100"/>
      <c r="YE308" s="100"/>
      <c r="YF308" s="100"/>
      <c r="YG308" s="100"/>
      <c r="YH308" s="100"/>
      <c r="YI308" s="100"/>
      <c r="YJ308" s="100"/>
      <c r="YK308" s="100"/>
      <c r="YL308" s="100"/>
      <c r="YM308" s="100"/>
      <c r="YN308" s="100"/>
      <c r="YO308" s="100"/>
      <c r="YP308" s="100"/>
      <c r="YQ308" s="100"/>
      <c r="YR308" s="100"/>
      <c r="YS308" s="100"/>
      <c r="YT308" s="100"/>
      <c r="YU308" s="100"/>
      <c r="YV308" s="100"/>
      <c r="YW308" s="100"/>
      <c r="YX308" s="100"/>
      <c r="YY308" s="100"/>
      <c r="YZ308" s="100"/>
      <c r="ZA308" s="100"/>
      <c r="ZB308" s="100"/>
      <c r="ZC308" s="100"/>
      <c r="ZD308" s="100"/>
      <c r="ZE308" s="100"/>
      <c r="ZF308" s="100"/>
      <c r="ZG308" s="100"/>
      <c r="ZH308" s="100"/>
      <c r="ZI308" s="100"/>
      <c r="ZJ308" s="100"/>
      <c r="ZK308" s="100"/>
      <c r="ZL308" s="100"/>
      <c r="ZM308" s="100"/>
      <c r="ZN308" s="100"/>
      <c r="ZO308" s="100"/>
      <c r="ZP308" s="100"/>
      <c r="ZQ308" s="100"/>
      <c r="ZR308" s="100"/>
      <c r="ZS308" s="100"/>
      <c r="ZT308" s="100"/>
      <c r="ZU308" s="100"/>
      <c r="ZV308" s="100"/>
      <c r="ZW308" s="100"/>
      <c r="ZX308" s="100"/>
      <c r="ZY308" s="100"/>
      <c r="ZZ308" s="100"/>
      <c r="AAA308" s="100"/>
      <c r="AAB308" s="100"/>
      <c r="AAC308" s="100"/>
      <c r="AAD308" s="100"/>
      <c r="AAE308" s="100"/>
      <c r="AAF308" s="100"/>
      <c r="AAG308" s="100"/>
      <c r="AAH308" s="100"/>
      <c r="AAI308" s="100"/>
      <c r="AAJ308" s="100"/>
      <c r="AAK308" s="100"/>
      <c r="AAL308" s="100"/>
      <c r="AAM308" s="100"/>
      <c r="AAN308" s="100"/>
      <c r="AAO308" s="100"/>
      <c r="AAP308" s="100"/>
      <c r="AAQ308" s="100"/>
      <c r="AAR308" s="100"/>
      <c r="AAS308" s="100"/>
      <c r="AAT308" s="100"/>
      <c r="AAU308" s="100"/>
      <c r="AAV308" s="100"/>
      <c r="AAW308" s="100"/>
      <c r="AAX308" s="100"/>
      <c r="AAY308" s="100"/>
      <c r="AAZ308" s="100"/>
      <c r="ABA308" s="100"/>
      <c r="ABB308" s="100"/>
      <c r="ABC308" s="100"/>
      <c r="ABD308" s="100"/>
      <c r="ABE308" s="100"/>
      <c r="ABF308" s="100"/>
      <c r="ABG308" s="100"/>
      <c r="ABH308" s="100"/>
      <c r="ABI308" s="100"/>
      <c r="ABJ308" s="100"/>
      <c r="ABK308" s="100"/>
      <c r="ABL308" s="100"/>
      <c r="ABM308" s="100"/>
      <c r="ABN308" s="100"/>
      <c r="ABO308" s="100"/>
      <c r="ABP308" s="100"/>
      <c r="ABQ308" s="100"/>
      <c r="ABR308" s="100"/>
      <c r="ABS308" s="100"/>
      <c r="ABT308" s="100"/>
      <c r="ABU308" s="100"/>
      <c r="ABV308" s="100"/>
      <c r="ABW308" s="100"/>
      <c r="ABX308" s="100"/>
      <c r="ABY308" s="100"/>
      <c r="ABZ308" s="100"/>
      <c r="ACA308" s="100"/>
      <c r="ACB308" s="100"/>
      <c r="ACC308" s="100"/>
      <c r="ACD308" s="100"/>
      <c r="ACE308" s="100"/>
      <c r="ACF308" s="100"/>
      <c r="ACG308" s="100"/>
      <c r="ACH308" s="100"/>
      <c r="ACI308" s="100"/>
      <c r="ACJ308" s="100"/>
      <c r="ACK308" s="100"/>
      <c r="ACL308" s="100"/>
      <c r="ACM308" s="100"/>
      <c r="ACN308" s="100"/>
      <c r="ACO308" s="100"/>
      <c r="ACP308" s="100"/>
      <c r="ACQ308" s="100"/>
      <c r="ACR308" s="100"/>
      <c r="ACS308" s="100"/>
      <c r="ACT308" s="100"/>
      <c r="ACU308" s="100"/>
      <c r="ACV308" s="100"/>
      <c r="ACW308" s="100"/>
      <c r="ACX308" s="100"/>
      <c r="ACY308" s="100"/>
      <c r="ACZ308" s="100"/>
      <c r="ADA308" s="100"/>
      <c r="ADB308" s="100"/>
      <c r="ADC308" s="100"/>
      <c r="ADD308" s="100"/>
      <c r="ADE308" s="100"/>
      <c r="ADF308" s="100"/>
      <c r="ADG308" s="100"/>
      <c r="ADH308" s="100"/>
      <c r="ADI308" s="100"/>
      <c r="ADJ308" s="100"/>
      <c r="ADK308" s="100"/>
      <c r="ADL308" s="100"/>
      <c r="ADM308" s="100"/>
      <c r="ADN308" s="100"/>
      <c r="ADO308" s="100"/>
      <c r="ADP308" s="100"/>
      <c r="ADQ308" s="100"/>
      <c r="ADR308" s="100"/>
      <c r="ADS308" s="100"/>
      <c r="ADT308" s="100"/>
      <c r="ADU308" s="100"/>
      <c r="ADV308" s="100"/>
      <c r="ADW308" s="100"/>
      <c r="ADX308" s="100"/>
      <c r="ADY308" s="100"/>
      <c r="ADZ308" s="100"/>
      <c r="AEA308" s="100"/>
      <c r="AEB308" s="100"/>
      <c r="AEC308" s="100"/>
      <c r="AED308" s="100"/>
      <c r="AEE308" s="100"/>
      <c r="AEF308" s="100"/>
      <c r="AEG308" s="100"/>
      <c r="AEH308" s="100"/>
      <c r="AEI308" s="100"/>
      <c r="AEJ308" s="100"/>
      <c r="AEK308" s="100"/>
      <c r="AEL308" s="100"/>
      <c r="AEM308" s="100"/>
      <c r="AEN308" s="100"/>
      <c r="AEO308" s="100"/>
      <c r="AEP308" s="100"/>
      <c r="AEQ308" s="100"/>
      <c r="AER308" s="100"/>
      <c r="AES308" s="100"/>
      <c r="AET308" s="100"/>
      <c r="AEU308" s="100"/>
      <c r="AEV308" s="100"/>
      <c r="AEW308" s="100"/>
      <c r="AEX308" s="100"/>
      <c r="AEY308" s="100"/>
      <c r="AEZ308" s="100"/>
      <c r="AFA308" s="100"/>
      <c r="AFB308" s="100"/>
      <c r="AFC308" s="100"/>
      <c r="AFD308" s="100"/>
      <c r="AFE308" s="100"/>
      <c r="AFF308" s="100"/>
      <c r="AFG308" s="100"/>
      <c r="AFH308" s="100"/>
      <c r="AFI308" s="100"/>
      <c r="AFJ308" s="100"/>
      <c r="AFK308" s="100"/>
      <c r="AFL308" s="100"/>
      <c r="AFM308" s="100"/>
      <c r="AFN308" s="100"/>
      <c r="AFO308" s="100"/>
      <c r="AFP308" s="100"/>
      <c r="AFQ308" s="100"/>
      <c r="AFR308" s="100"/>
      <c r="AFS308" s="100"/>
      <c r="AFT308" s="100"/>
      <c r="AFU308" s="100"/>
      <c r="AFV308" s="100"/>
      <c r="AFW308" s="100"/>
      <c r="AFX308" s="100"/>
      <c r="AFY308" s="100"/>
      <c r="AFZ308" s="100"/>
      <c r="AGA308" s="100"/>
      <c r="AGB308" s="100"/>
      <c r="AGC308" s="100"/>
      <c r="AGD308" s="100"/>
      <c r="AGE308" s="100"/>
      <c r="AGF308" s="100"/>
      <c r="AGG308" s="100"/>
      <c r="AGH308" s="100"/>
      <c r="AGI308" s="100"/>
      <c r="AGJ308" s="100"/>
      <c r="AGK308" s="100"/>
      <c r="AGL308" s="100"/>
      <c r="AGM308" s="100"/>
      <c r="AGN308" s="100"/>
      <c r="AGO308" s="100"/>
      <c r="AGP308" s="100"/>
      <c r="AGQ308" s="100"/>
      <c r="AGR308" s="100"/>
      <c r="AGS308" s="100"/>
      <c r="AGT308" s="100"/>
      <c r="AGU308" s="100"/>
      <c r="AGV308" s="100"/>
      <c r="AGW308" s="100"/>
      <c r="AGX308" s="100"/>
      <c r="AGY308" s="100"/>
      <c r="AGZ308" s="100"/>
      <c r="AHA308" s="100"/>
      <c r="AHB308" s="100"/>
      <c r="AHC308" s="100"/>
      <c r="AHD308" s="100"/>
      <c r="AHE308" s="100"/>
      <c r="AHF308" s="100"/>
      <c r="AHG308" s="100"/>
      <c r="AHH308" s="100"/>
      <c r="AHI308" s="100"/>
      <c r="AHJ308" s="100"/>
      <c r="AHK308" s="100"/>
      <c r="AHL308" s="100"/>
      <c r="AHM308" s="100"/>
      <c r="AHN308" s="100"/>
      <c r="AHO308" s="100"/>
      <c r="AHP308" s="100"/>
      <c r="AHQ308" s="100"/>
      <c r="AHR308" s="100"/>
      <c r="AHS308" s="100"/>
      <c r="AHT308" s="100"/>
      <c r="AHU308" s="100"/>
      <c r="AHV308" s="100"/>
      <c r="AHW308" s="100"/>
      <c r="AHX308" s="100"/>
      <c r="AHY308" s="100"/>
      <c r="AHZ308" s="100"/>
      <c r="AIA308" s="100"/>
      <c r="AIB308" s="100"/>
      <c r="AIC308" s="100"/>
      <c r="AID308" s="100"/>
      <c r="AIE308" s="100"/>
      <c r="AIF308" s="100"/>
      <c r="AIG308" s="100"/>
      <c r="AIH308" s="100"/>
      <c r="AII308" s="100"/>
      <c r="AIJ308" s="100"/>
      <c r="AIK308" s="100"/>
      <c r="AIL308" s="100"/>
      <c r="AIM308" s="100"/>
      <c r="AIN308" s="100"/>
      <c r="AIO308" s="100"/>
      <c r="AIP308" s="100"/>
      <c r="AIQ308" s="100"/>
      <c r="AIR308" s="100"/>
      <c r="AIS308" s="100"/>
      <c r="AIT308" s="100"/>
      <c r="AIU308" s="100"/>
      <c r="AIV308" s="100"/>
      <c r="AIW308" s="100"/>
      <c r="AIX308" s="100"/>
      <c r="AIY308" s="100"/>
      <c r="AIZ308" s="100"/>
      <c r="AJA308" s="100"/>
      <c r="AJB308" s="100"/>
      <c r="AJC308" s="100"/>
      <c r="AJD308" s="100"/>
      <c r="AJE308" s="100"/>
      <c r="AJF308" s="100"/>
      <c r="AJG308" s="100"/>
      <c r="AJH308" s="100"/>
      <c r="AJI308" s="100"/>
      <c r="AJJ308" s="100"/>
      <c r="AJK308" s="100"/>
      <c r="AJL308" s="100"/>
      <c r="AJM308" s="100"/>
      <c r="AJN308" s="100"/>
      <c r="AJO308" s="100"/>
      <c r="AJP308" s="100"/>
      <c r="AJQ308" s="100"/>
      <c r="AJR308" s="100"/>
      <c r="AJS308" s="100"/>
      <c r="AJT308" s="100"/>
      <c r="AJU308" s="100"/>
      <c r="AJV308" s="100"/>
      <c r="AJW308" s="100"/>
      <c r="AJX308" s="100"/>
      <c r="AJY308" s="100"/>
      <c r="AJZ308" s="100"/>
      <c r="AKA308" s="100"/>
      <c r="AKB308" s="100"/>
      <c r="AKC308" s="100"/>
      <c r="AKD308" s="100"/>
      <c r="AKE308" s="100"/>
      <c r="AKF308" s="100"/>
      <c r="AKG308" s="100"/>
      <c r="AKH308" s="100"/>
      <c r="AKI308" s="100"/>
      <c r="AKJ308" s="100"/>
      <c r="AKK308" s="100"/>
      <c r="AKL308" s="100"/>
      <c r="AKM308" s="100"/>
      <c r="AKN308" s="100"/>
      <c r="AKO308" s="100"/>
      <c r="AKP308" s="100"/>
      <c r="AKQ308" s="100"/>
      <c r="AKR308" s="100"/>
      <c r="AKS308" s="100"/>
      <c r="AKT308" s="100"/>
      <c r="AKU308" s="100"/>
      <c r="AKV308" s="100"/>
      <c r="AKW308" s="100"/>
      <c r="AKX308" s="100"/>
      <c r="AKY308" s="100"/>
      <c r="AKZ308" s="100"/>
      <c r="ALA308" s="100"/>
      <c r="ALB308" s="100"/>
      <c r="ALC308" s="100"/>
      <c r="ALD308" s="100"/>
      <c r="ALE308" s="100"/>
      <c r="ALF308" s="100"/>
      <c r="ALG308" s="100"/>
      <c r="ALH308" s="100"/>
      <c r="ALI308" s="100"/>
      <c r="ALJ308" s="100"/>
      <c r="ALK308" s="100"/>
      <c r="ALL308" s="100"/>
      <c r="ALM308" s="100"/>
      <c r="ALN308" s="100"/>
      <c r="ALO308" s="100"/>
      <c r="ALP308" s="100"/>
      <c r="ALQ308" s="100"/>
      <c r="ALR308" s="100"/>
      <c r="ALS308" s="100"/>
      <c r="ALT308" s="100"/>
      <c r="ALU308" s="100"/>
      <c r="ALV308" s="100"/>
      <c r="ALW308" s="100"/>
      <c r="ALX308" s="100"/>
      <c r="ALY308" s="100"/>
      <c r="ALZ308" s="100"/>
      <c r="AMA308" s="100"/>
      <c r="AMB308" s="100"/>
      <c r="AMC308" s="100"/>
      <c r="AMD308" s="100"/>
    </row>
    <row r="309" spans="1:1018" s="127" customFormat="1" ht="11.25" customHeight="1" x14ac:dyDescent="0.15">
      <c r="A309" s="111"/>
      <c r="B309" s="126">
        <v>5</v>
      </c>
      <c r="C309" s="114">
        <v>302</v>
      </c>
      <c r="D309" s="115" t="s">
        <v>445</v>
      </c>
      <c r="E309" s="171">
        <v>775</v>
      </c>
      <c r="F309" s="113">
        <f>ROUND(E309*Valores!$C$2,2)</f>
        <v>75799.649999999994</v>
      </c>
      <c r="G309" s="169">
        <v>0</v>
      </c>
      <c r="H309" s="113">
        <f>ROUND(G309*Valores!$C$2,2)</f>
        <v>0</v>
      </c>
      <c r="I309" s="169">
        <v>0</v>
      </c>
      <c r="J309" s="113">
        <f>ROUND(I309*Valores!$C$2,2)</f>
        <v>0</v>
      </c>
      <c r="K309" s="169">
        <v>0</v>
      </c>
      <c r="L309" s="113">
        <f>ROUND(K309*Valores!$C$2,2)</f>
        <v>0</v>
      </c>
      <c r="M309" s="113">
        <f>ROUND(IF($H$2=0,IF(AND(A309&lt;&gt;"13-930",A309&lt;&gt;"13-940"),(SUM(F309,H309,J309,L309,W309,S309,Q309)*Valores!$C$4),0),0),2)</f>
        <v>21133.71</v>
      </c>
      <c r="N309" s="113">
        <f t="shared" si="54"/>
        <v>0</v>
      </c>
      <c r="O309" s="113">
        <v>0</v>
      </c>
      <c r="P309" s="113">
        <v>0</v>
      </c>
      <c r="Q309" s="113">
        <f>IF($F$4="NO",IF(Valores!$C$28*B309&gt;Valores!$C$25,Valores!$C$25,Valores!$C$28*B309),IF(Valores!$C$28*B309&gt;Valores!$C$25,Valores!$C$25,Valores!$C$28*B309)/2)</f>
        <v>8735.2000000000007</v>
      </c>
      <c r="R309" s="113">
        <v>0</v>
      </c>
      <c r="S309" s="113">
        <f t="shared" si="55"/>
        <v>0</v>
      </c>
      <c r="T309" s="113">
        <v>0</v>
      </c>
      <c r="U309" s="113">
        <v>0</v>
      </c>
      <c r="V309" s="169">
        <v>0</v>
      </c>
      <c r="W309" s="113">
        <f>ROUND(V309*Valores!$C$2,2)</f>
        <v>0</v>
      </c>
      <c r="X309" s="113">
        <v>0</v>
      </c>
      <c r="Y309" s="188">
        <v>0</v>
      </c>
      <c r="Z309" s="113">
        <v>0</v>
      </c>
      <c r="AA309" s="169">
        <v>0</v>
      </c>
      <c r="AB309" s="113">
        <f>ROUND(AA309*Valores!$C$2,2)</f>
        <v>0</v>
      </c>
      <c r="AC309" s="113"/>
      <c r="AD309" s="113">
        <f>SUM(F309,H309,J309,L309,M309,N309,O309,P309,Q309,S309,T309,U309,W309,X309,Z309,AB309,AC309)*Valores!$C$58</f>
        <v>10566.856</v>
      </c>
      <c r="AE309" s="113">
        <f t="shared" si="49"/>
        <v>116235.41599999998</v>
      </c>
      <c r="AF309" s="113">
        <v>0</v>
      </c>
      <c r="AG309" s="113">
        <f>AE309*Valores!$C$60*Valores!$C$61</f>
        <v>0</v>
      </c>
      <c r="AH309" s="113">
        <f t="shared" si="45"/>
        <v>0</v>
      </c>
      <c r="AI309" s="113">
        <f>AE309*Valores!$C$39</f>
        <v>-12785.895759999998</v>
      </c>
      <c r="AJ309" s="113">
        <f>IF(AE309&lt;Valores!$E$40,-0.02,IF(AE309&lt;Valores!$F$40,-0.03,-0.04))*AE309</f>
        <v>-2324.7083199999997</v>
      </c>
      <c r="AK309" s="113">
        <f>AE309*Valores!$C$42</f>
        <v>-6392.9478799999988</v>
      </c>
      <c r="AL309" s="113">
        <v>0</v>
      </c>
      <c r="AM309" s="113">
        <v>0</v>
      </c>
      <c r="AN309" s="113">
        <f t="shared" si="50"/>
        <v>94731.864039999986</v>
      </c>
      <c r="AO309" s="113">
        <f t="shared" si="44"/>
        <v>-12785.895759999998</v>
      </c>
      <c r="AP309" s="113">
        <f t="shared" si="51"/>
        <v>-2324.7083199999997</v>
      </c>
      <c r="AQ309" s="113">
        <f>AE309*Valores!$C$43</f>
        <v>-3138.3562319999996</v>
      </c>
      <c r="AR309" s="113">
        <f>AE309*Valores!$C$44</f>
        <v>-348.70624799999996</v>
      </c>
      <c r="AS309" s="113">
        <f t="shared" si="46"/>
        <v>97637.749439999985</v>
      </c>
      <c r="AT309" s="113">
        <f>AE309*Valores!$C$46</f>
        <v>18597.666559999998</v>
      </c>
      <c r="AU309" s="113">
        <f>AE309*Valores!$C$47</f>
        <v>8136.47912</v>
      </c>
      <c r="AV309" s="113">
        <f>AE309*Valores!$C$48</f>
        <v>1162.3541599999999</v>
      </c>
      <c r="AW309" s="113">
        <f>AE309*Valores!$C$50</f>
        <v>4068.23956</v>
      </c>
      <c r="AX309" s="113">
        <f>AE309*Valores!$C$52</f>
        <v>6276.7124639999993</v>
      </c>
      <c r="AY309" s="113">
        <f>AE309*Valores!$C$51</f>
        <v>697.41249599999992</v>
      </c>
      <c r="AZ309" s="114"/>
      <c r="BA309" s="114"/>
      <c r="BB309" s="111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  <c r="EO309" s="100"/>
      <c r="EP309" s="100"/>
      <c r="EQ309" s="100"/>
      <c r="ER309" s="100"/>
      <c r="ES309" s="100"/>
      <c r="ET309" s="100"/>
      <c r="EU309" s="100"/>
      <c r="EV309" s="100"/>
      <c r="EW309" s="100"/>
      <c r="EX309" s="100"/>
      <c r="EY309" s="100"/>
      <c r="EZ309" s="100"/>
      <c r="FA309" s="100"/>
      <c r="FB309" s="100"/>
      <c r="FC309" s="100"/>
      <c r="FD309" s="100"/>
      <c r="FE309" s="100"/>
      <c r="FF309" s="100"/>
      <c r="FG309" s="100"/>
      <c r="FH309" s="100"/>
      <c r="FI309" s="100"/>
      <c r="FJ309" s="100"/>
      <c r="FK309" s="100"/>
      <c r="FL309" s="100"/>
      <c r="FM309" s="100"/>
      <c r="FN309" s="100"/>
      <c r="FO309" s="100"/>
      <c r="FP309" s="100"/>
      <c r="FQ309" s="100"/>
      <c r="FR309" s="100"/>
      <c r="FS309" s="100"/>
      <c r="FT309" s="100"/>
      <c r="FU309" s="100"/>
      <c r="FV309" s="100"/>
      <c r="FW309" s="100"/>
      <c r="FX309" s="100"/>
      <c r="FY309" s="100"/>
      <c r="FZ309" s="100"/>
      <c r="GA309" s="100"/>
      <c r="GB309" s="100"/>
      <c r="GC309" s="100"/>
      <c r="GD309" s="100"/>
      <c r="GE309" s="100"/>
      <c r="GF309" s="100"/>
      <c r="GG309" s="100"/>
      <c r="GH309" s="100"/>
      <c r="GI309" s="100"/>
      <c r="GJ309" s="100"/>
      <c r="GK309" s="100"/>
      <c r="GL309" s="100"/>
      <c r="GM309" s="100"/>
      <c r="GN309" s="100"/>
      <c r="GO309" s="100"/>
      <c r="GP309" s="100"/>
      <c r="GQ309" s="100"/>
      <c r="GR309" s="100"/>
      <c r="GS309" s="100"/>
      <c r="GT309" s="100"/>
      <c r="GU309" s="100"/>
      <c r="GV309" s="100"/>
      <c r="GW309" s="100"/>
      <c r="GX309" s="100"/>
      <c r="GY309" s="100"/>
      <c r="GZ309" s="100"/>
      <c r="HA309" s="100"/>
      <c r="HB309" s="100"/>
      <c r="HC309" s="100"/>
      <c r="HD309" s="100"/>
      <c r="HE309" s="100"/>
      <c r="HF309" s="100"/>
      <c r="HG309" s="100"/>
      <c r="HH309" s="100"/>
      <c r="HI309" s="100"/>
      <c r="HJ309" s="100"/>
      <c r="HK309" s="100"/>
      <c r="HL309" s="100"/>
      <c r="HM309" s="100"/>
      <c r="HN309" s="100"/>
      <c r="HO309" s="100"/>
      <c r="HP309" s="100"/>
      <c r="HQ309" s="100"/>
      <c r="HR309" s="100"/>
      <c r="HS309" s="100"/>
      <c r="HT309" s="100"/>
      <c r="HU309" s="100"/>
      <c r="HV309" s="100"/>
      <c r="HW309" s="100"/>
      <c r="HX309" s="100"/>
      <c r="HY309" s="100"/>
      <c r="HZ309" s="100"/>
      <c r="IA309" s="100"/>
      <c r="IB309" s="100"/>
      <c r="IC309" s="100"/>
      <c r="ID309" s="100"/>
      <c r="IE309" s="100"/>
      <c r="IF309" s="100"/>
      <c r="IG309" s="100"/>
      <c r="IH309" s="100"/>
      <c r="II309" s="100"/>
      <c r="IJ309" s="100"/>
      <c r="IK309" s="100"/>
      <c r="IL309" s="100"/>
      <c r="IM309" s="100"/>
      <c r="IN309" s="100"/>
      <c r="IO309" s="100"/>
      <c r="IP309" s="100"/>
      <c r="IQ309" s="100"/>
      <c r="IR309" s="100"/>
      <c r="IS309" s="100"/>
      <c r="IT309" s="100"/>
      <c r="IU309" s="100"/>
      <c r="IV309" s="100"/>
      <c r="IW309" s="100"/>
      <c r="IX309" s="100"/>
      <c r="IY309" s="100"/>
      <c r="IZ309" s="100"/>
      <c r="JA309" s="100"/>
      <c r="JB309" s="100"/>
      <c r="JC309" s="100"/>
      <c r="JD309" s="100"/>
      <c r="JE309" s="100"/>
      <c r="JF309" s="100"/>
      <c r="JG309" s="100"/>
      <c r="JH309" s="100"/>
      <c r="JI309" s="100"/>
      <c r="JJ309" s="100"/>
      <c r="JK309" s="100"/>
      <c r="JL309" s="100"/>
      <c r="JM309" s="100"/>
      <c r="JN309" s="100"/>
      <c r="JO309" s="100"/>
      <c r="JP309" s="100"/>
      <c r="JQ309" s="100"/>
      <c r="JR309" s="100"/>
      <c r="JS309" s="100"/>
      <c r="JT309" s="100"/>
      <c r="JU309" s="100"/>
      <c r="JV309" s="100"/>
      <c r="JW309" s="100"/>
      <c r="JX309" s="100"/>
      <c r="JY309" s="100"/>
      <c r="JZ309" s="100"/>
      <c r="KA309" s="100"/>
      <c r="KB309" s="100"/>
      <c r="KC309" s="100"/>
      <c r="KD309" s="100"/>
      <c r="KE309" s="100"/>
      <c r="KF309" s="100"/>
      <c r="KG309" s="100"/>
      <c r="KH309" s="100"/>
      <c r="KI309" s="100"/>
      <c r="KJ309" s="100"/>
      <c r="KK309" s="100"/>
      <c r="KL309" s="100"/>
      <c r="KM309" s="100"/>
      <c r="KN309" s="100"/>
      <c r="KO309" s="100"/>
      <c r="KP309" s="100"/>
      <c r="KQ309" s="100"/>
      <c r="KR309" s="100"/>
      <c r="KS309" s="100"/>
      <c r="KT309" s="100"/>
      <c r="KU309" s="100"/>
      <c r="KV309" s="100"/>
      <c r="KW309" s="100"/>
      <c r="KX309" s="100"/>
      <c r="KY309" s="100"/>
      <c r="KZ309" s="100"/>
      <c r="LA309" s="100"/>
      <c r="LB309" s="100"/>
      <c r="LC309" s="100"/>
      <c r="LD309" s="100"/>
      <c r="LE309" s="100"/>
      <c r="LF309" s="100"/>
      <c r="LG309" s="100"/>
      <c r="LH309" s="100"/>
      <c r="LI309" s="100"/>
      <c r="LJ309" s="100"/>
      <c r="LK309" s="100"/>
      <c r="LL309" s="100"/>
      <c r="LM309" s="100"/>
      <c r="LN309" s="100"/>
      <c r="LO309" s="100"/>
      <c r="LP309" s="100"/>
      <c r="LQ309" s="100"/>
      <c r="LR309" s="100"/>
      <c r="LS309" s="100"/>
      <c r="LT309" s="100"/>
      <c r="LU309" s="100"/>
      <c r="LV309" s="100"/>
      <c r="LW309" s="100"/>
      <c r="LX309" s="100"/>
      <c r="LY309" s="100"/>
      <c r="LZ309" s="100"/>
      <c r="MA309" s="100"/>
      <c r="MB309" s="100"/>
      <c r="MC309" s="100"/>
      <c r="MD309" s="100"/>
      <c r="ME309" s="100"/>
      <c r="MF309" s="100"/>
      <c r="MG309" s="100"/>
      <c r="MH309" s="100"/>
      <c r="MI309" s="100"/>
      <c r="MJ309" s="100"/>
      <c r="MK309" s="100"/>
      <c r="ML309" s="100"/>
      <c r="MM309" s="100"/>
      <c r="MN309" s="100"/>
      <c r="MO309" s="100"/>
      <c r="MP309" s="100"/>
      <c r="MQ309" s="100"/>
      <c r="MR309" s="100"/>
      <c r="MS309" s="100"/>
      <c r="MT309" s="100"/>
      <c r="MU309" s="100"/>
      <c r="MV309" s="100"/>
      <c r="MW309" s="100"/>
      <c r="MX309" s="100"/>
      <c r="MY309" s="100"/>
      <c r="MZ309" s="100"/>
      <c r="NA309" s="100"/>
      <c r="NB309" s="100"/>
      <c r="NC309" s="100"/>
      <c r="ND309" s="100"/>
      <c r="NE309" s="100"/>
      <c r="NF309" s="100"/>
      <c r="NG309" s="100"/>
      <c r="NH309" s="100"/>
      <c r="NI309" s="100"/>
      <c r="NJ309" s="100"/>
      <c r="NK309" s="100"/>
      <c r="NL309" s="100"/>
      <c r="NM309" s="100"/>
      <c r="NN309" s="100"/>
      <c r="NO309" s="100"/>
      <c r="NP309" s="100"/>
      <c r="NQ309" s="100"/>
      <c r="NR309" s="100"/>
      <c r="NS309" s="100"/>
      <c r="NT309" s="100"/>
      <c r="NU309" s="100"/>
      <c r="NV309" s="100"/>
      <c r="NW309" s="100"/>
      <c r="NX309" s="100"/>
      <c r="NY309" s="100"/>
      <c r="NZ309" s="100"/>
      <c r="OA309" s="100"/>
      <c r="OB309" s="100"/>
      <c r="OC309" s="100"/>
      <c r="OD309" s="100"/>
      <c r="OE309" s="100"/>
      <c r="OF309" s="100"/>
      <c r="OG309" s="100"/>
      <c r="OH309" s="100"/>
      <c r="OI309" s="100"/>
      <c r="OJ309" s="100"/>
      <c r="OK309" s="100"/>
      <c r="OL309" s="100"/>
      <c r="OM309" s="100"/>
      <c r="ON309" s="100"/>
      <c r="OO309" s="100"/>
      <c r="OP309" s="100"/>
      <c r="OQ309" s="100"/>
      <c r="OR309" s="100"/>
      <c r="OS309" s="100"/>
      <c r="OT309" s="100"/>
      <c r="OU309" s="100"/>
      <c r="OV309" s="100"/>
      <c r="OW309" s="100"/>
      <c r="OX309" s="100"/>
      <c r="OY309" s="100"/>
      <c r="OZ309" s="100"/>
      <c r="PA309" s="100"/>
      <c r="PB309" s="100"/>
      <c r="PC309" s="100"/>
      <c r="PD309" s="100"/>
      <c r="PE309" s="100"/>
      <c r="PF309" s="100"/>
      <c r="PG309" s="100"/>
      <c r="PH309" s="100"/>
      <c r="PI309" s="100"/>
      <c r="PJ309" s="100"/>
      <c r="PK309" s="100"/>
      <c r="PL309" s="100"/>
      <c r="PM309" s="100"/>
      <c r="PN309" s="100"/>
      <c r="PO309" s="100"/>
      <c r="PP309" s="100"/>
      <c r="PQ309" s="100"/>
      <c r="PR309" s="100"/>
      <c r="PS309" s="100"/>
      <c r="PT309" s="100"/>
      <c r="PU309" s="100"/>
      <c r="PV309" s="100"/>
      <c r="PW309" s="100"/>
      <c r="PX309" s="100"/>
      <c r="PY309" s="100"/>
      <c r="PZ309" s="100"/>
      <c r="QA309" s="100"/>
      <c r="QB309" s="100"/>
      <c r="QC309" s="100"/>
      <c r="QD309" s="100"/>
      <c r="QE309" s="100"/>
      <c r="QF309" s="100"/>
      <c r="QG309" s="100"/>
      <c r="QH309" s="100"/>
      <c r="QI309" s="100"/>
      <c r="QJ309" s="100"/>
      <c r="QK309" s="100"/>
      <c r="QL309" s="100"/>
      <c r="QM309" s="100"/>
      <c r="QN309" s="100"/>
      <c r="QO309" s="100"/>
      <c r="QP309" s="100"/>
      <c r="QQ309" s="100"/>
      <c r="QR309" s="100"/>
      <c r="QS309" s="100"/>
      <c r="QT309" s="100"/>
      <c r="QU309" s="100"/>
      <c r="QV309" s="100"/>
      <c r="QW309" s="100"/>
      <c r="QX309" s="100"/>
      <c r="QY309" s="100"/>
      <c r="QZ309" s="100"/>
      <c r="RA309" s="100"/>
      <c r="RB309" s="100"/>
      <c r="RC309" s="100"/>
      <c r="RD309" s="100"/>
      <c r="RE309" s="100"/>
      <c r="RF309" s="100"/>
      <c r="RG309" s="100"/>
      <c r="RH309" s="100"/>
      <c r="RI309" s="100"/>
      <c r="RJ309" s="100"/>
      <c r="RK309" s="100"/>
      <c r="RL309" s="100"/>
      <c r="RM309" s="100"/>
      <c r="RN309" s="100"/>
      <c r="RO309" s="100"/>
      <c r="RP309" s="100"/>
      <c r="RQ309" s="100"/>
      <c r="RR309" s="100"/>
      <c r="RS309" s="100"/>
      <c r="RT309" s="100"/>
      <c r="RU309" s="100"/>
      <c r="RV309" s="100"/>
      <c r="RW309" s="100"/>
      <c r="RX309" s="100"/>
      <c r="RY309" s="100"/>
      <c r="RZ309" s="100"/>
      <c r="SA309" s="100"/>
      <c r="SB309" s="100"/>
      <c r="SC309" s="100"/>
      <c r="SD309" s="100"/>
      <c r="SE309" s="100"/>
      <c r="SF309" s="100"/>
      <c r="SG309" s="100"/>
      <c r="SH309" s="100"/>
      <c r="SI309" s="100"/>
      <c r="SJ309" s="100"/>
      <c r="SK309" s="100"/>
      <c r="SL309" s="100"/>
      <c r="SM309" s="100"/>
      <c r="SN309" s="100"/>
      <c r="SO309" s="100"/>
      <c r="SP309" s="100"/>
      <c r="SQ309" s="100"/>
      <c r="SR309" s="100"/>
      <c r="SS309" s="100"/>
      <c r="ST309" s="100"/>
      <c r="SU309" s="100"/>
      <c r="SV309" s="100"/>
      <c r="SW309" s="100"/>
      <c r="SX309" s="100"/>
      <c r="SY309" s="100"/>
      <c r="SZ309" s="100"/>
      <c r="TA309" s="100"/>
      <c r="TB309" s="100"/>
      <c r="TC309" s="100"/>
      <c r="TD309" s="100"/>
      <c r="TE309" s="100"/>
      <c r="TF309" s="100"/>
      <c r="TG309" s="100"/>
      <c r="TH309" s="100"/>
      <c r="TI309" s="100"/>
      <c r="TJ309" s="100"/>
      <c r="TK309" s="100"/>
      <c r="TL309" s="100"/>
      <c r="TM309" s="100"/>
      <c r="TN309" s="100"/>
      <c r="TO309" s="100"/>
      <c r="TP309" s="100"/>
      <c r="TQ309" s="100"/>
      <c r="TR309" s="100"/>
      <c r="TS309" s="100"/>
      <c r="TT309" s="100"/>
      <c r="TU309" s="100"/>
      <c r="TV309" s="100"/>
      <c r="TW309" s="100"/>
      <c r="TX309" s="100"/>
      <c r="TY309" s="100"/>
      <c r="TZ309" s="100"/>
      <c r="UA309" s="100"/>
      <c r="UB309" s="100"/>
      <c r="UC309" s="100"/>
      <c r="UD309" s="100"/>
      <c r="UE309" s="100"/>
      <c r="UF309" s="100"/>
      <c r="UG309" s="100"/>
      <c r="UH309" s="100"/>
      <c r="UI309" s="100"/>
      <c r="UJ309" s="100"/>
      <c r="UK309" s="100"/>
      <c r="UL309" s="100"/>
      <c r="UM309" s="100"/>
      <c r="UN309" s="100"/>
      <c r="UO309" s="100"/>
      <c r="UP309" s="100"/>
      <c r="UQ309" s="100"/>
      <c r="UR309" s="100"/>
      <c r="US309" s="100"/>
      <c r="UT309" s="100"/>
      <c r="UU309" s="100"/>
      <c r="UV309" s="100"/>
      <c r="UW309" s="100"/>
      <c r="UX309" s="100"/>
      <c r="UY309" s="100"/>
      <c r="UZ309" s="100"/>
      <c r="VA309" s="100"/>
      <c r="VB309" s="100"/>
      <c r="VC309" s="100"/>
      <c r="VD309" s="100"/>
      <c r="VE309" s="100"/>
      <c r="VF309" s="100"/>
      <c r="VG309" s="100"/>
      <c r="VH309" s="100"/>
      <c r="VI309" s="100"/>
      <c r="VJ309" s="100"/>
      <c r="VK309" s="100"/>
      <c r="VL309" s="100"/>
      <c r="VM309" s="100"/>
      <c r="VN309" s="100"/>
      <c r="VO309" s="100"/>
      <c r="VP309" s="100"/>
      <c r="VQ309" s="100"/>
      <c r="VR309" s="100"/>
      <c r="VS309" s="100"/>
      <c r="VT309" s="100"/>
      <c r="VU309" s="100"/>
      <c r="VV309" s="100"/>
      <c r="VW309" s="100"/>
      <c r="VX309" s="100"/>
      <c r="VY309" s="100"/>
      <c r="VZ309" s="100"/>
      <c r="WA309" s="100"/>
      <c r="WB309" s="100"/>
      <c r="WC309" s="100"/>
      <c r="WD309" s="100"/>
      <c r="WE309" s="100"/>
      <c r="WF309" s="100"/>
      <c r="WG309" s="100"/>
      <c r="WH309" s="100"/>
      <c r="WI309" s="100"/>
      <c r="WJ309" s="100"/>
      <c r="WK309" s="100"/>
      <c r="WL309" s="100"/>
      <c r="WM309" s="100"/>
      <c r="WN309" s="100"/>
      <c r="WO309" s="100"/>
      <c r="WP309" s="100"/>
      <c r="WQ309" s="100"/>
      <c r="WR309" s="100"/>
      <c r="WS309" s="100"/>
      <c r="WT309" s="100"/>
      <c r="WU309" s="100"/>
      <c r="WV309" s="100"/>
      <c r="WW309" s="100"/>
      <c r="WX309" s="100"/>
      <c r="WY309" s="100"/>
      <c r="WZ309" s="100"/>
      <c r="XA309" s="100"/>
      <c r="XB309" s="100"/>
      <c r="XC309" s="100"/>
      <c r="XD309" s="100"/>
      <c r="XE309" s="100"/>
      <c r="XF309" s="100"/>
      <c r="XG309" s="100"/>
      <c r="XH309" s="100"/>
      <c r="XI309" s="100"/>
      <c r="XJ309" s="100"/>
      <c r="XK309" s="100"/>
      <c r="XL309" s="100"/>
      <c r="XM309" s="100"/>
      <c r="XN309" s="100"/>
      <c r="XO309" s="100"/>
      <c r="XP309" s="100"/>
      <c r="XQ309" s="100"/>
      <c r="XR309" s="100"/>
      <c r="XS309" s="100"/>
      <c r="XT309" s="100"/>
      <c r="XU309" s="100"/>
      <c r="XV309" s="100"/>
      <c r="XW309" s="100"/>
      <c r="XX309" s="100"/>
      <c r="XY309" s="100"/>
      <c r="XZ309" s="100"/>
      <c r="YA309" s="100"/>
      <c r="YB309" s="100"/>
      <c r="YC309" s="100"/>
      <c r="YD309" s="100"/>
      <c r="YE309" s="100"/>
      <c r="YF309" s="100"/>
      <c r="YG309" s="100"/>
      <c r="YH309" s="100"/>
      <c r="YI309" s="100"/>
      <c r="YJ309" s="100"/>
      <c r="YK309" s="100"/>
      <c r="YL309" s="100"/>
      <c r="YM309" s="100"/>
      <c r="YN309" s="100"/>
      <c r="YO309" s="100"/>
      <c r="YP309" s="100"/>
      <c r="YQ309" s="100"/>
      <c r="YR309" s="100"/>
      <c r="YS309" s="100"/>
      <c r="YT309" s="100"/>
      <c r="YU309" s="100"/>
      <c r="YV309" s="100"/>
      <c r="YW309" s="100"/>
      <c r="YX309" s="100"/>
      <c r="YY309" s="100"/>
      <c r="YZ309" s="100"/>
      <c r="ZA309" s="100"/>
      <c r="ZB309" s="100"/>
      <c r="ZC309" s="100"/>
      <c r="ZD309" s="100"/>
      <c r="ZE309" s="100"/>
      <c r="ZF309" s="100"/>
      <c r="ZG309" s="100"/>
      <c r="ZH309" s="100"/>
      <c r="ZI309" s="100"/>
      <c r="ZJ309" s="100"/>
      <c r="ZK309" s="100"/>
      <c r="ZL309" s="100"/>
      <c r="ZM309" s="100"/>
      <c r="ZN309" s="100"/>
      <c r="ZO309" s="100"/>
      <c r="ZP309" s="100"/>
      <c r="ZQ309" s="100"/>
      <c r="ZR309" s="100"/>
      <c r="ZS309" s="100"/>
      <c r="ZT309" s="100"/>
      <c r="ZU309" s="100"/>
      <c r="ZV309" s="100"/>
      <c r="ZW309" s="100"/>
      <c r="ZX309" s="100"/>
      <c r="ZY309" s="100"/>
      <c r="ZZ309" s="100"/>
      <c r="AAA309" s="100"/>
      <c r="AAB309" s="100"/>
      <c r="AAC309" s="100"/>
      <c r="AAD309" s="100"/>
      <c r="AAE309" s="100"/>
      <c r="AAF309" s="100"/>
      <c r="AAG309" s="100"/>
      <c r="AAH309" s="100"/>
      <c r="AAI309" s="100"/>
      <c r="AAJ309" s="100"/>
      <c r="AAK309" s="100"/>
      <c r="AAL309" s="100"/>
      <c r="AAM309" s="100"/>
      <c r="AAN309" s="100"/>
      <c r="AAO309" s="100"/>
      <c r="AAP309" s="100"/>
      <c r="AAQ309" s="100"/>
      <c r="AAR309" s="100"/>
      <c r="AAS309" s="100"/>
      <c r="AAT309" s="100"/>
      <c r="AAU309" s="100"/>
      <c r="AAV309" s="100"/>
      <c r="AAW309" s="100"/>
      <c r="AAX309" s="100"/>
      <c r="AAY309" s="100"/>
      <c r="AAZ309" s="100"/>
      <c r="ABA309" s="100"/>
      <c r="ABB309" s="100"/>
      <c r="ABC309" s="100"/>
      <c r="ABD309" s="100"/>
      <c r="ABE309" s="100"/>
      <c r="ABF309" s="100"/>
      <c r="ABG309" s="100"/>
      <c r="ABH309" s="100"/>
      <c r="ABI309" s="100"/>
      <c r="ABJ309" s="100"/>
      <c r="ABK309" s="100"/>
      <c r="ABL309" s="100"/>
      <c r="ABM309" s="100"/>
      <c r="ABN309" s="100"/>
      <c r="ABO309" s="100"/>
      <c r="ABP309" s="100"/>
      <c r="ABQ309" s="100"/>
      <c r="ABR309" s="100"/>
      <c r="ABS309" s="100"/>
      <c r="ABT309" s="100"/>
      <c r="ABU309" s="100"/>
      <c r="ABV309" s="100"/>
      <c r="ABW309" s="100"/>
      <c r="ABX309" s="100"/>
      <c r="ABY309" s="100"/>
      <c r="ABZ309" s="100"/>
      <c r="ACA309" s="100"/>
      <c r="ACB309" s="100"/>
      <c r="ACC309" s="100"/>
      <c r="ACD309" s="100"/>
      <c r="ACE309" s="100"/>
      <c r="ACF309" s="100"/>
      <c r="ACG309" s="100"/>
      <c r="ACH309" s="100"/>
      <c r="ACI309" s="100"/>
      <c r="ACJ309" s="100"/>
      <c r="ACK309" s="100"/>
      <c r="ACL309" s="100"/>
      <c r="ACM309" s="100"/>
      <c r="ACN309" s="100"/>
      <c r="ACO309" s="100"/>
      <c r="ACP309" s="100"/>
      <c r="ACQ309" s="100"/>
      <c r="ACR309" s="100"/>
      <c r="ACS309" s="100"/>
      <c r="ACT309" s="100"/>
      <c r="ACU309" s="100"/>
      <c r="ACV309" s="100"/>
      <c r="ACW309" s="100"/>
      <c r="ACX309" s="100"/>
      <c r="ACY309" s="100"/>
      <c r="ACZ309" s="100"/>
      <c r="ADA309" s="100"/>
      <c r="ADB309" s="100"/>
      <c r="ADC309" s="100"/>
      <c r="ADD309" s="100"/>
      <c r="ADE309" s="100"/>
      <c r="ADF309" s="100"/>
      <c r="ADG309" s="100"/>
      <c r="ADH309" s="100"/>
      <c r="ADI309" s="100"/>
      <c r="ADJ309" s="100"/>
      <c r="ADK309" s="100"/>
      <c r="ADL309" s="100"/>
      <c r="ADM309" s="100"/>
      <c r="ADN309" s="100"/>
      <c r="ADO309" s="100"/>
      <c r="ADP309" s="100"/>
      <c r="ADQ309" s="100"/>
      <c r="ADR309" s="100"/>
      <c r="ADS309" s="100"/>
      <c r="ADT309" s="100"/>
      <c r="ADU309" s="100"/>
      <c r="ADV309" s="100"/>
      <c r="ADW309" s="100"/>
      <c r="ADX309" s="100"/>
      <c r="ADY309" s="100"/>
      <c r="ADZ309" s="100"/>
      <c r="AEA309" s="100"/>
      <c r="AEB309" s="100"/>
      <c r="AEC309" s="100"/>
      <c r="AED309" s="100"/>
      <c r="AEE309" s="100"/>
      <c r="AEF309" s="100"/>
      <c r="AEG309" s="100"/>
      <c r="AEH309" s="100"/>
      <c r="AEI309" s="100"/>
      <c r="AEJ309" s="100"/>
      <c r="AEK309" s="100"/>
      <c r="AEL309" s="100"/>
      <c r="AEM309" s="100"/>
      <c r="AEN309" s="100"/>
      <c r="AEO309" s="100"/>
      <c r="AEP309" s="100"/>
      <c r="AEQ309" s="100"/>
      <c r="AER309" s="100"/>
      <c r="AES309" s="100"/>
      <c r="AET309" s="100"/>
      <c r="AEU309" s="100"/>
      <c r="AEV309" s="100"/>
      <c r="AEW309" s="100"/>
      <c r="AEX309" s="100"/>
      <c r="AEY309" s="100"/>
      <c r="AEZ309" s="100"/>
      <c r="AFA309" s="100"/>
      <c r="AFB309" s="100"/>
      <c r="AFC309" s="100"/>
      <c r="AFD309" s="100"/>
      <c r="AFE309" s="100"/>
      <c r="AFF309" s="100"/>
      <c r="AFG309" s="100"/>
      <c r="AFH309" s="100"/>
      <c r="AFI309" s="100"/>
      <c r="AFJ309" s="100"/>
      <c r="AFK309" s="100"/>
      <c r="AFL309" s="100"/>
      <c r="AFM309" s="100"/>
      <c r="AFN309" s="100"/>
      <c r="AFO309" s="100"/>
      <c r="AFP309" s="100"/>
      <c r="AFQ309" s="100"/>
      <c r="AFR309" s="100"/>
      <c r="AFS309" s="100"/>
      <c r="AFT309" s="100"/>
      <c r="AFU309" s="100"/>
      <c r="AFV309" s="100"/>
      <c r="AFW309" s="100"/>
      <c r="AFX309" s="100"/>
      <c r="AFY309" s="100"/>
      <c r="AFZ309" s="100"/>
      <c r="AGA309" s="100"/>
      <c r="AGB309" s="100"/>
      <c r="AGC309" s="100"/>
      <c r="AGD309" s="100"/>
      <c r="AGE309" s="100"/>
      <c r="AGF309" s="100"/>
      <c r="AGG309" s="100"/>
      <c r="AGH309" s="100"/>
      <c r="AGI309" s="100"/>
      <c r="AGJ309" s="100"/>
      <c r="AGK309" s="100"/>
      <c r="AGL309" s="100"/>
      <c r="AGM309" s="100"/>
      <c r="AGN309" s="100"/>
      <c r="AGO309" s="100"/>
      <c r="AGP309" s="100"/>
      <c r="AGQ309" s="100"/>
      <c r="AGR309" s="100"/>
      <c r="AGS309" s="100"/>
      <c r="AGT309" s="100"/>
      <c r="AGU309" s="100"/>
      <c r="AGV309" s="100"/>
      <c r="AGW309" s="100"/>
      <c r="AGX309" s="100"/>
      <c r="AGY309" s="100"/>
      <c r="AGZ309" s="100"/>
      <c r="AHA309" s="100"/>
      <c r="AHB309" s="100"/>
      <c r="AHC309" s="100"/>
      <c r="AHD309" s="100"/>
      <c r="AHE309" s="100"/>
      <c r="AHF309" s="100"/>
      <c r="AHG309" s="100"/>
      <c r="AHH309" s="100"/>
      <c r="AHI309" s="100"/>
      <c r="AHJ309" s="100"/>
      <c r="AHK309" s="100"/>
      <c r="AHL309" s="100"/>
      <c r="AHM309" s="100"/>
      <c r="AHN309" s="100"/>
      <c r="AHO309" s="100"/>
      <c r="AHP309" s="100"/>
      <c r="AHQ309" s="100"/>
      <c r="AHR309" s="100"/>
      <c r="AHS309" s="100"/>
      <c r="AHT309" s="100"/>
      <c r="AHU309" s="100"/>
      <c r="AHV309" s="100"/>
      <c r="AHW309" s="100"/>
      <c r="AHX309" s="100"/>
      <c r="AHY309" s="100"/>
      <c r="AHZ309" s="100"/>
      <c r="AIA309" s="100"/>
      <c r="AIB309" s="100"/>
      <c r="AIC309" s="100"/>
      <c r="AID309" s="100"/>
      <c r="AIE309" s="100"/>
      <c r="AIF309" s="100"/>
      <c r="AIG309" s="100"/>
      <c r="AIH309" s="100"/>
      <c r="AII309" s="100"/>
      <c r="AIJ309" s="100"/>
      <c r="AIK309" s="100"/>
      <c r="AIL309" s="100"/>
      <c r="AIM309" s="100"/>
      <c r="AIN309" s="100"/>
      <c r="AIO309" s="100"/>
      <c r="AIP309" s="100"/>
      <c r="AIQ309" s="100"/>
      <c r="AIR309" s="100"/>
      <c r="AIS309" s="100"/>
      <c r="AIT309" s="100"/>
      <c r="AIU309" s="100"/>
      <c r="AIV309" s="100"/>
      <c r="AIW309" s="100"/>
      <c r="AIX309" s="100"/>
      <c r="AIY309" s="100"/>
      <c r="AIZ309" s="100"/>
      <c r="AJA309" s="100"/>
      <c r="AJB309" s="100"/>
      <c r="AJC309" s="100"/>
      <c r="AJD309" s="100"/>
      <c r="AJE309" s="100"/>
      <c r="AJF309" s="100"/>
      <c r="AJG309" s="100"/>
      <c r="AJH309" s="100"/>
      <c r="AJI309" s="100"/>
      <c r="AJJ309" s="100"/>
      <c r="AJK309" s="100"/>
      <c r="AJL309" s="100"/>
      <c r="AJM309" s="100"/>
      <c r="AJN309" s="100"/>
      <c r="AJO309" s="100"/>
      <c r="AJP309" s="100"/>
      <c r="AJQ309" s="100"/>
      <c r="AJR309" s="100"/>
      <c r="AJS309" s="100"/>
      <c r="AJT309" s="100"/>
      <c r="AJU309" s="100"/>
      <c r="AJV309" s="100"/>
      <c r="AJW309" s="100"/>
      <c r="AJX309" s="100"/>
      <c r="AJY309" s="100"/>
      <c r="AJZ309" s="100"/>
      <c r="AKA309" s="100"/>
      <c r="AKB309" s="100"/>
      <c r="AKC309" s="100"/>
      <c r="AKD309" s="100"/>
      <c r="AKE309" s="100"/>
      <c r="AKF309" s="100"/>
      <c r="AKG309" s="100"/>
      <c r="AKH309" s="100"/>
      <c r="AKI309" s="100"/>
      <c r="AKJ309" s="100"/>
      <c r="AKK309" s="100"/>
      <c r="AKL309" s="100"/>
      <c r="AKM309" s="100"/>
      <c r="AKN309" s="100"/>
      <c r="AKO309" s="100"/>
      <c r="AKP309" s="100"/>
      <c r="AKQ309" s="100"/>
      <c r="AKR309" s="100"/>
      <c r="AKS309" s="100"/>
      <c r="AKT309" s="100"/>
      <c r="AKU309" s="100"/>
      <c r="AKV309" s="100"/>
      <c r="AKW309" s="100"/>
      <c r="AKX309" s="100"/>
      <c r="AKY309" s="100"/>
      <c r="AKZ309" s="100"/>
      <c r="ALA309" s="100"/>
      <c r="ALB309" s="100"/>
      <c r="ALC309" s="100"/>
      <c r="ALD309" s="100"/>
      <c r="ALE309" s="100"/>
      <c r="ALF309" s="100"/>
      <c r="ALG309" s="100"/>
      <c r="ALH309" s="100"/>
      <c r="ALI309" s="100"/>
      <c r="ALJ309" s="100"/>
      <c r="ALK309" s="100"/>
      <c r="ALL309" s="100"/>
      <c r="ALM309" s="100"/>
      <c r="ALN309" s="100"/>
      <c r="ALO309" s="100"/>
      <c r="ALP309" s="100"/>
      <c r="ALQ309" s="100"/>
      <c r="ALR309" s="100"/>
      <c r="ALS309" s="100"/>
      <c r="ALT309" s="100"/>
      <c r="ALU309" s="100"/>
      <c r="ALV309" s="100"/>
      <c r="ALW309" s="100"/>
      <c r="ALX309" s="100"/>
      <c r="ALY309" s="100"/>
      <c r="ALZ309" s="100"/>
      <c r="AMA309" s="100"/>
      <c r="AMB309" s="100"/>
      <c r="AMC309" s="100"/>
      <c r="AMD309" s="100"/>
    </row>
    <row r="310" spans="1:1018" s="127" customFormat="1" ht="11.25" customHeight="1" x14ac:dyDescent="0.15">
      <c r="A310" s="111"/>
      <c r="B310" s="126">
        <v>6</v>
      </c>
      <c r="C310" s="114">
        <v>303</v>
      </c>
      <c r="D310" s="115" t="s">
        <v>446</v>
      </c>
      <c r="E310" s="171">
        <v>930</v>
      </c>
      <c r="F310" s="113">
        <f>ROUND(E310*Valores!$C$2,2)</f>
        <v>90959.58</v>
      </c>
      <c r="G310" s="169">
        <v>0</v>
      </c>
      <c r="H310" s="113">
        <f>ROUND(G310*Valores!$C$2,2)</f>
        <v>0</v>
      </c>
      <c r="I310" s="169">
        <v>0</v>
      </c>
      <c r="J310" s="113">
        <f>ROUND(I310*Valores!$C$2,2)</f>
        <v>0</v>
      </c>
      <c r="K310" s="169">
        <v>0</v>
      </c>
      <c r="L310" s="113">
        <f>ROUND(K310*Valores!$C$2,2)</f>
        <v>0</v>
      </c>
      <c r="M310" s="113">
        <f>ROUND(IF($H$2=0,IF(AND(A310&lt;&gt;"13-930",A310&lt;&gt;"13-940"),(SUM(F310,H310,J310,L310,W310,S310,Q310)*Valores!$C$4),0),0),2)</f>
        <v>25360.46</v>
      </c>
      <c r="N310" s="113">
        <f t="shared" si="54"/>
        <v>0</v>
      </c>
      <c r="O310" s="113">
        <v>0</v>
      </c>
      <c r="P310" s="113">
        <v>0</v>
      </c>
      <c r="Q310" s="113">
        <f>IF($F$4="NO",IF(Valores!$C$28*B310&gt;Valores!$C$25,Valores!$C$25,Valores!$C$28*B310),IF(Valores!$C$28*B310&gt;Valores!$C$25,Valores!$C$25,Valores!$C$28*B310)/2)</f>
        <v>10482.24</v>
      </c>
      <c r="R310" s="113">
        <v>0</v>
      </c>
      <c r="S310" s="113">
        <f t="shared" si="55"/>
        <v>0</v>
      </c>
      <c r="T310" s="113">
        <v>0</v>
      </c>
      <c r="U310" s="113">
        <v>0</v>
      </c>
      <c r="V310" s="169">
        <v>0</v>
      </c>
      <c r="W310" s="113">
        <f>ROUND(V310*Valores!$C$2,2)</f>
        <v>0</v>
      </c>
      <c r="X310" s="113">
        <v>0</v>
      </c>
      <c r="Y310" s="188">
        <v>0</v>
      </c>
      <c r="Z310" s="113">
        <v>0</v>
      </c>
      <c r="AA310" s="169">
        <v>0</v>
      </c>
      <c r="AB310" s="113">
        <f>ROUND(AA310*Valores!$C$2,2)</f>
        <v>0</v>
      </c>
      <c r="AC310" s="113"/>
      <c r="AD310" s="113">
        <f>SUM(F310,H310,J310,L310,M310,N310,O310,P310,Q310,S310,T310,U310,W310,X310,Z310,AB310,AC310)*Valores!$C$58</f>
        <v>12680.228000000003</v>
      </c>
      <c r="AE310" s="113">
        <f t="shared" si="49"/>
        <v>139482.50800000003</v>
      </c>
      <c r="AF310" s="113">
        <v>0</v>
      </c>
      <c r="AG310" s="113">
        <f>AE310*Valores!$C$60*Valores!$C$61</f>
        <v>0</v>
      </c>
      <c r="AH310" s="113">
        <f t="shared" si="45"/>
        <v>0</v>
      </c>
      <c r="AI310" s="113">
        <f>AE310*Valores!$C$39</f>
        <v>-15343.075880000004</v>
      </c>
      <c r="AJ310" s="113">
        <f>IF(AE310&lt;Valores!$E$40,-0.02,IF(AE310&lt;Valores!$F$40,-0.03,-0.04))*AE310</f>
        <v>-2789.6501600000006</v>
      </c>
      <c r="AK310" s="113">
        <f>AE310*Valores!$C$42</f>
        <v>-7671.537940000002</v>
      </c>
      <c r="AL310" s="113">
        <v>0</v>
      </c>
      <c r="AM310" s="113">
        <v>0</v>
      </c>
      <c r="AN310" s="113">
        <f t="shared" si="50"/>
        <v>113678.24402000003</v>
      </c>
      <c r="AO310" s="113">
        <f t="shared" si="44"/>
        <v>-15343.075880000004</v>
      </c>
      <c r="AP310" s="113">
        <f t="shared" si="51"/>
        <v>-2789.6501600000006</v>
      </c>
      <c r="AQ310" s="113">
        <f>AE310*Valores!$C$43</f>
        <v>-3766.027716000001</v>
      </c>
      <c r="AR310" s="113">
        <f>AE310*Valores!$C$44</f>
        <v>-418.4475240000001</v>
      </c>
      <c r="AS310" s="113">
        <f t="shared" si="46"/>
        <v>117165.30672000002</v>
      </c>
      <c r="AT310" s="113">
        <f>AE310*Valores!$C$46</f>
        <v>22317.201280000005</v>
      </c>
      <c r="AU310" s="113">
        <f>AE310*Valores!$C$47</f>
        <v>9763.7755600000037</v>
      </c>
      <c r="AV310" s="113">
        <f>AE310*Valores!$C$48</f>
        <v>1394.8250800000003</v>
      </c>
      <c r="AW310" s="113">
        <f>AE310*Valores!$C$50</f>
        <v>4881.8877800000018</v>
      </c>
      <c r="AX310" s="113">
        <f>AE310*Valores!$C$52</f>
        <v>7532.0554320000019</v>
      </c>
      <c r="AY310" s="113">
        <f>AE310*Valores!$C$51</f>
        <v>836.8950480000002</v>
      </c>
      <c r="AZ310" s="114"/>
      <c r="BA310" s="114"/>
      <c r="BB310" s="111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00"/>
      <c r="FK310" s="100"/>
      <c r="FL310" s="100"/>
      <c r="FM310" s="100"/>
      <c r="FN310" s="100"/>
      <c r="FO310" s="100"/>
      <c r="FP310" s="100"/>
      <c r="FQ310" s="100"/>
      <c r="FR310" s="100"/>
      <c r="FS310" s="100"/>
      <c r="FT310" s="100"/>
      <c r="FU310" s="100"/>
      <c r="FV310" s="100"/>
      <c r="FW310" s="100"/>
      <c r="FX310" s="100"/>
      <c r="FY310" s="100"/>
      <c r="FZ310" s="100"/>
      <c r="GA310" s="100"/>
      <c r="GB310" s="100"/>
      <c r="GC310" s="100"/>
      <c r="GD310" s="100"/>
      <c r="GE310" s="100"/>
      <c r="GF310" s="100"/>
      <c r="GG310" s="100"/>
      <c r="GH310" s="100"/>
      <c r="GI310" s="100"/>
      <c r="GJ310" s="100"/>
      <c r="GK310" s="100"/>
      <c r="GL310" s="100"/>
      <c r="GM310" s="100"/>
      <c r="GN310" s="100"/>
      <c r="GO310" s="100"/>
      <c r="GP310" s="100"/>
      <c r="GQ310" s="100"/>
      <c r="GR310" s="100"/>
      <c r="GS310" s="100"/>
      <c r="GT310" s="100"/>
      <c r="GU310" s="100"/>
      <c r="GV310" s="100"/>
      <c r="GW310" s="100"/>
      <c r="GX310" s="100"/>
      <c r="GY310" s="100"/>
      <c r="GZ310" s="100"/>
      <c r="HA310" s="100"/>
      <c r="HB310" s="100"/>
      <c r="HC310" s="100"/>
      <c r="HD310" s="100"/>
      <c r="HE310" s="100"/>
      <c r="HF310" s="100"/>
      <c r="HG310" s="100"/>
      <c r="HH310" s="100"/>
      <c r="HI310" s="100"/>
      <c r="HJ310" s="100"/>
      <c r="HK310" s="100"/>
      <c r="HL310" s="100"/>
      <c r="HM310" s="100"/>
      <c r="HN310" s="100"/>
      <c r="HO310" s="100"/>
      <c r="HP310" s="100"/>
      <c r="HQ310" s="100"/>
      <c r="HR310" s="100"/>
      <c r="HS310" s="100"/>
      <c r="HT310" s="100"/>
      <c r="HU310" s="100"/>
      <c r="HV310" s="100"/>
      <c r="HW310" s="100"/>
      <c r="HX310" s="100"/>
      <c r="HY310" s="100"/>
      <c r="HZ310" s="100"/>
      <c r="IA310" s="100"/>
      <c r="IB310" s="100"/>
      <c r="IC310" s="100"/>
      <c r="ID310" s="100"/>
      <c r="IE310" s="100"/>
      <c r="IF310" s="100"/>
      <c r="IG310" s="100"/>
      <c r="IH310" s="100"/>
      <c r="II310" s="100"/>
      <c r="IJ310" s="100"/>
      <c r="IK310" s="100"/>
      <c r="IL310" s="100"/>
      <c r="IM310" s="100"/>
      <c r="IN310" s="100"/>
      <c r="IO310" s="100"/>
      <c r="IP310" s="100"/>
      <c r="IQ310" s="100"/>
      <c r="IR310" s="100"/>
      <c r="IS310" s="100"/>
      <c r="IT310" s="100"/>
      <c r="IU310" s="100"/>
      <c r="IV310" s="100"/>
      <c r="IW310" s="100"/>
      <c r="IX310" s="100"/>
      <c r="IY310" s="100"/>
      <c r="IZ310" s="100"/>
      <c r="JA310" s="100"/>
      <c r="JB310" s="100"/>
      <c r="JC310" s="100"/>
      <c r="JD310" s="100"/>
      <c r="JE310" s="100"/>
      <c r="JF310" s="100"/>
      <c r="JG310" s="100"/>
      <c r="JH310" s="100"/>
      <c r="JI310" s="100"/>
      <c r="JJ310" s="100"/>
      <c r="JK310" s="100"/>
      <c r="JL310" s="100"/>
      <c r="JM310" s="100"/>
      <c r="JN310" s="100"/>
      <c r="JO310" s="100"/>
      <c r="JP310" s="100"/>
      <c r="JQ310" s="100"/>
      <c r="JR310" s="100"/>
      <c r="JS310" s="100"/>
      <c r="JT310" s="100"/>
      <c r="JU310" s="100"/>
      <c r="JV310" s="100"/>
      <c r="JW310" s="100"/>
      <c r="JX310" s="100"/>
      <c r="JY310" s="100"/>
      <c r="JZ310" s="100"/>
      <c r="KA310" s="100"/>
      <c r="KB310" s="100"/>
      <c r="KC310" s="100"/>
      <c r="KD310" s="100"/>
      <c r="KE310" s="100"/>
      <c r="KF310" s="100"/>
      <c r="KG310" s="100"/>
      <c r="KH310" s="100"/>
      <c r="KI310" s="100"/>
      <c r="KJ310" s="100"/>
      <c r="KK310" s="100"/>
      <c r="KL310" s="100"/>
      <c r="KM310" s="100"/>
      <c r="KN310" s="100"/>
      <c r="KO310" s="100"/>
      <c r="KP310" s="100"/>
      <c r="KQ310" s="100"/>
      <c r="KR310" s="100"/>
      <c r="KS310" s="100"/>
      <c r="KT310" s="100"/>
      <c r="KU310" s="100"/>
      <c r="KV310" s="100"/>
      <c r="KW310" s="100"/>
      <c r="KX310" s="100"/>
      <c r="KY310" s="100"/>
      <c r="KZ310" s="100"/>
      <c r="LA310" s="100"/>
      <c r="LB310" s="100"/>
      <c r="LC310" s="100"/>
      <c r="LD310" s="100"/>
      <c r="LE310" s="100"/>
      <c r="LF310" s="100"/>
      <c r="LG310" s="100"/>
      <c r="LH310" s="100"/>
      <c r="LI310" s="100"/>
      <c r="LJ310" s="100"/>
      <c r="LK310" s="100"/>
      <c r="LL310" s="100"/>
      <c r="LM310" s="100"/>
      <c r="LN310" s="100"/>
      <c r="LO310" s="100"/>
      <c r="LP310" s="100"/>
      <c r="LQ310" s="100"/>
      <c r="LR310" s="100"/>
      <c r="LS310" s="100"/>
      <c r="LT310" s="100"/>
      <c r="LU310" s="100"/>
      <c r="LV310" s="100"/>
      <c r="LW310" s="100"/>
      <c r="LX310" s="100"/>
      <c r="LY310" s="100"/>
      <c r="LZ310" s="100"/>
      <c r="MA310" s="100"/>
      <c r="MB310" s="100"/>
      <c r="MC310" s="100"/>
      <c r="MD310" s="100"/>
      <c r="ME310" s="100"/>
      <c r="MF310" s="100"/>
      <c r="MG310" s="100"/>
      <c r="MH310" s="100"/>
      <c r="MI310" s="100"/>
      <c r="MJ310" s="100"/>
      <c r="MK310" s="100"/>
      <c r="ML310" s="100"/>
      <c r="MM310" s="100"/>
      <c r="MN310" s="100"/>
      <c r="MO310" s="100"/>
      <c r="MP310" s="100"/>
      <c r="MQ310" s="100"/>
      <c r="MR310" s="100"/>
      <c r="MS310" s="100"/>
      <c r="MT310" s="100"/>
      <c r="MU310" s="100"/>
      <c r="MV310" s="100"/>
      <c r="MW310" s="100"/>
      <c r="MX310" s="100"/>
      <c r="MY310" s="100"/>
      <c r="MZ310" s="100"/>
      <c r="NA310" s="100"/>
      <c r="NB310" s="100"/>
      <c r="NC310" s="100"/>
      <c r="ND310" s="100"/>
      <c r="NE310" s="100"/>
      <c r="NF310" s="100"/>
      <c r="NG310" s="100"/>
      <c r="NH310" s="100"/>
      <c r="NI310" s="100"/>
      <c r="NJ310" s="100"/>
      <c r="NK310" s="100"/>
      <c r="NL310" s="100"/>
      <c r="NM310" s="100"/>
      <c r="NN310" s="100"/>
      <c r="NO310" s="100"/>
      <c r="NP310" s="100"/>
      <c r="NQ310" s="100"/>
      <c r="NR310" s="100"/>
      <c r="NS310" s="100"/>
      <c r="NT310" s="100"/>
      <c r="NU310" s="100"/>
      <c r="NV310" s="100"/>
      <c r="NW310" s="100"/>
      <c r="NX310" s="100"/>
      <c r="NY310" s="100"/>
      <c r="NZ310" s="100"/>
      <c r="OA310" s="100"/>
      <c r="OB310" s="100"/>
      <c r="OC310" s="100"/>
      <c r="OD310" s="100"/>
      <c r="OE310" s="100"/>
      <c r="OF310" s="100"/>
      <c r="OG310" s="100"/>
      <c r="OH310" s="100"/>
      <c r="OI310" s="100"/>
      <c r="OJ310" s="100"/>
      <c r="OK310" s="100"/>
      <c r="OL310" s="100"/>
      <c r="OM310" s="100"/>
      <c r="ON310" s="100"/>
      <c r="OO310" s="100"/>
      <c r="OP310" s="100"/>
      <c r="OQ310" s="100"/>
      <c r="OR310" s="100"/>
      <c r="OS310" s="100"/>
      <c r="OT310" s="100"/>
      <c r="OU310" s="100"/>
      <c r="OV310" s="100"/>
      <c r="OW310" s="100"/>
      <c r="OX310" s="100"/>
      <c r="OY310" s="100"/>
      <c r="OZ310" s="100"/>
      <c r="PA310" s="100"/>
      <c r="PB310" s="100"/>
      <c r="PC310" s="100"/>
      <c r="PD310" s="100"/>
      <c r="PE310" s="100"/>
      <c r="PF310" s="100"/>
      <c r="PG310" s="100"/>
      <c r="PH310" s="100"/>
      <c r="PI310" s="100"/>
      <c r="PJ310" s="100"/>
      <c r="PK310" s="100"/>
      <c r="PL310" s="100"/>
      <c r="PM310" s="100"/>
      <c r="PN310" s="100"/>
      <c r="PO310" s="100"/>
      <c r="PP310" s="100"/>
      <c r="PQ310" s="100"/>
      <c r="PR310" s="100"/>
      <c r="PS310" s="100"/>
      <c r="PT310" s="100"/>
      <c r="PU310" s="100"/>
      <c r="PV310" s="100"/>
      <c r="PW310" s="100"/>
      <c r="PX310" s="100"/>
      <c r="PY310" s="100"/>
      <c r="PZ310" s="100"/>
      <c r="QA310" s="100"/>
      <c r="QB310" s="100"/>
      <c r="QC310" s="100"/>
      <c r="QD310" s="100"/>
      <c r="QE310" s="100"/>
      <c r="QF310" s="100"/>
      <c r="QG310" s="100"/>
      <c r="QH310" s="100"/>
      <c r="QI310" s="100"/>
      <c r="QJ310" s="100"/>
      <c r="QK310" s="100"/>
      <c r="QL310" s="100"/>
      <c r="QM310" s="100"/>
      <c r="QN310" s="100"/>
      <c r="QO310" s="100"/>
      <c r="QP310" s="100"/>
      <c r="QQ310" s="100"/>
      <c r="QR310" s="100"/>
      <c r="QS310" s="100"/>
      <c r="QT310" s="100"/>
      <c r="QU310" s="100"/>
      <c r="QV310" s="100"/>
      <c r="QW310" s="100"/>
      <c r="QX310" s="100"/>
      <c r="QY310" s="100"/>
      <c r="QZ310" s="100"/>
      <c r="RA310" s="100"/>
      <c r="RB310" s="100"/>
      <c r="RC310" s="100"/>
      <c r="RD310" s="100"/>
      <c r="RE310" s="100"/>
      <c r="RF310" s="100"/>
      <c r="RG310" s="100"/>
      <c r="RH310" s="100"/>
      <c r="RI310" s="100"/>
      <c r="RJ310" s="100"/>
      <c r="RK310" s="100"/>
      <c r="RL310" s="100"/>
      <c r="RM310" s="100"/>
      <c r="RN310" s="100"/>
      <c r="RO310" s="100"/>
      <c r="RP310" s="100"/>
      <c r="RQ310" s="100"/>
      <c r="RR310" s="100"/>
      <c r="RS310" s="100"/>
      <c r="RT310" s="100"/>
      <c r="RU310" s="100"/>
      <c r="RV310" s="100"/>
      <c r="RW310" s="100"/>
      <c r="RX310" s="100"/>
      <c r="RY310" s="100"/>
      <c r="RZ310" s="100"/>
      <c r="SA310" s="100"/>
      <c r="SB310" s="100"/>
      <c r="SC310" s="100"/>
      <c r="SD310" s="100"/>
      <c r="SE310" s="100"/>
      <c r="SF310" s="100"/>
      <c r="SG310" s="100"/>
      <c r="SH310" s="100"/>
      <c r="SI310" s="100"/>
      <c r="SJ310" s="100"/>
      <c r="SK310" s="100"/>
      <c r="SL310" s="100"/>
      <c r="SM310" s="100"/>
      <c r="SN310" s="100"/>
      <c r="SO310" s="100"/>
      <c r="SP310" s="100"/>
      <c r="SQ310" s="100"/>
      <c r="SR310" s="100"/>
      <c r="SS310" s="100"/>
      <c r="ST310" s="100"/>
      <c r="SU310" s="100"/>
      <c r="SV310" s="100"/>
      <c r="SW310" s="100"/>
      <c r="SX310" s="100"/>
      <c r="SY310" s="100"/>
      <c r="SZ310" s="100"/>
      <c r="TA310" s="100"/>
      <c r="TB310" s="100"/>
      <c r="TC310" s="100"/>
      <c r="TD310" s="100"/>
      <c r="TE310" s="100"/>
      <c r="TF310" s="100"/>
      <c r="TG310" s="100"/>
      <c r="TH310" s="100"/>
      <c r="TI310" s="100"/>
      <c r="TJ310" s="100"/>
      <c r="TK310" s="100"/>
      <c r="TL310" s="100"/>
      <c r="TM310" s="100"/>
      <c r="TN310" s="100"/>
      <c r="TO310" s="100"/>
      <c r="TP310" s="100"/>
      <c r="TQ310" s="100"/>
      <c r="TR310" s="100"/>
      <c r="TS310" s="100"/>
      <c r="TT310" s="100"/>
      <c r="TU310" s="100"/>
      <c r="TV310" s="100"/>
      <c r="TW310" s="100"/>
      <c r="TX310" s="100"/>
      <c r="TY310" s="100"/>
      <c r="TZ310" s="100"/>
      <c r="UA310" s="100"/>
      <c r="UB310" s="100"/>
      <c r="UC310" s="100"/>
      <c r="UD310" s="100"/>
      <c r="UE310" s="100"/>
      <c r="UF310" s="100"/>
      <c r="UG310" s="100"/>
      <c r="UH310" s="100"/>
      <c r="UI310" s="100"/>
      <c r="UJ310" s="100"/>
      <c r="UK310" s="100"/>
      <c r="UL310" s="100"/>
      <c r="UM310" s="100"/>
      <c r="UN310" s="100"/>
      <c r="UO310" s="100"/>
      <c r="UP310" s="100"/>
      <c r="UQ310" s="100"/>
      <c r="UR310" s="100"/>
      <c r="US310" s="100"/>
      <c r="UT310" s="100"/>
      <c r="UU310" s="100"/>
      <c r="UV310" s="100"/>
      <c r="UW310" s="100"/>
      <c r="UX310" s="100"/>
      <c r="UY310" s="100"/>
      <c r="UZ310" s="100"/>
      <c r="VA310" s="100"/>
      <c r="VB310" s="100"/>
      <c r="VC310" s="100"/>
      <c r="VD310" s="100"/>
      <c r="VE310" s="100"/>
      <c r="VF310" s="100"/>
      <c r="VG310" s="100"/>
      <c r="VH310" s="100"/>
      <c r="VI310" s="100"/>
      <c r="VJ310" s="100"/>
      <c r="VK310" s="100"/>
      <c r="VL310" s="100"/>
      <c r="VM310" s="100"/>
      <c r="VN310" s="100"/>
      <c r="VO310" s="100"/>
      <c r="VP310" s="100"/>
      <c r="VQ310" s="100"/>
      <c r="VR310" s="100"/>
      <c r="VS310" s="100"/>
      <c r="VT310" s="100"/>
      <c r="VU310" s="100"/>
      <c r="VV310" s="100"/>
      <c r="VW310" s="100"/>
      <c r="VX310" s="100"/>
      <c r="VY310" s="100"/>
      <c r="VZ310" s="100"/>
      <c r="WA310" s="100"/>
      <c r="WB310" s="100"/>
      <c r="WC310" s="100"/>
      <c r="WD310" s="100"/>
      <c r="WE310" s="100"/>
      <c r="WF310" s="100"/>
      <c r="WG310" s="100"/>
      <c r="WH310" s="100"/>
      <c r="WI310" s="100"/>
      <c r="WJ310" s="100"/>
      <c r="WK310" s="100"/>
      <c r="WL310" s="100"/>
      <c r="WM310" s="100"/>
      <c r="WN310" s="100"/>
      <c r="WO310" s="100"/>
      <c r="WP310" s="100"/>
      <c r="WQ310" s="100"/>
      <c r="WR310" s="100"/>
      <c r="WS310" s="100"/>
      <c r="WT310" s="100"/>
      <c r="WU310" s="100"/>
      <c r="WV310" s="100"/>
      <c r="WW310" s="100"/>
      <c r="WX310" s="100"/>
      <c r="WY310" s="100"/>
      <c r="WZ310" s="100"/>
      <c r="XA310" s="100"/>
      <c r="XB310" s="100"/>
      <c r="XC310" s="100"/>
      <c r="XD310" s="100"/>
      <c r="XE310" s="100"/>
      <c r="XF310" s="100"/>
      <c r="XG310" s="100"/>
      <c r="XH310" s="100"/>
      <c r="XI310" s="100"/>
      <c r="XJ310" s="100"/>
      <c r="XK310" s="100"/>
      <c r="XL310" s="100"/>
      <c r="XM310" s="100"/>
      <c r="XN310" s="100"/>
      <c r="XO310" s="100"/>
      <c r="XP310" s="100"/>
      <c r="XQ310" s="100"/>
      <c r="XR310" s="100"/>
      <c r="XS310" s="100"/>
      <c r="XT310" s="100"/>
      <c r="XU310" s="100"/>
      <c r="XV310" s="100"/>
      <c r="XW310" s="100"/>
      <c r="XX310" s="100"/>
      <c r="XY310" s="100"/>
      <c r="XZ310" s="100"/>
      <c r="YA310" s="100"/>
      <c r="YB310" s="100"/>
      <c r="YC310" s="100"/>
      <c r="YD310" s="100"/>
      <c r="YE310" s="100"/>
      <c r="YF310" s="100"/>
      <c r="YG310" s="100"/>
      <c r="YH310" s="100"/>
      <c r="YI310" s="100"/>
      <c r="YJ310" s="100"/>
      <c r="YK310" s="100"/>
      <c r="YL310" s="100"/>
      <c r="YM310" s="100"/>
      <c r="YN310" s="100"/>
      <c r="YO310" s="100"/>
      <c r="YP310" s="100"/>
      <c r="YQ310" s="100"/>
      <c r="YR310" s="100"/>
      <c r="YS310" s="100"/>
      <c r="YT310" s="100"/>
      <c r="YU310" s="100"/>
      <c r="YV310" s="100"/>
      <c r="YW310" s="100"/>
      <c r="YX310" s="100"/>
      <c r="YY310" s="100"/>
      <c r="YZ310" s="100"/>
      <c r="ZA310" s="100"/>
      <c r="ZB310" s="100"/>
      <c r="ZC310" s="100"/>
      <c r="ZD310" s="100"/>
      <c r="ZE310" s="100"/>
      <c r="ZF310" s="100"/>
      <c r="ZG310" s="100"/>
      <c r="ZH310" s="100"/>
      <c r="ZI310" s="100"/>
      <c r="ZJ310" s="100"/>
      <c r="ZK310" s="100"/>
      <c r="ZL310" s="100"/>
      <c r="ZM310" s="100"/>
      <c r="ZN310" s="100"/>
      <c r="ZO310" s="100"/>
      <c r="ZP310" s="100"/>
      <c r="ZQ310" s="100"/>
      <c r="ZR310" s="100"/>
      <c r="ZS310" s="100"/>
      <c r="ZT310" s="100"/>
      <c r="ZU310" s="100"/>
      <c r="ZV310" s="100"/>
      <c r="ZW310" s="100"/>
      <c r="ZX310" s="100"/>
      <c r="ZY310" s="100"/>
      <c r="ZZ310" s="100"/>
      <c r="AAA310" s="100"/>
      <c r="AAB310" s="100"/>
      <c r="AAC310" s="100"/>
      <c r="AAD310" s="100"/>
      <c r="AAE310" s="100"/>
      <c r="AAF310" s="100"/>
      <c r="AAG310" s="100"/>
      <c r="AAH310" s="100"/>
      <c r="AAI310" s="100"/>
      <c r="AAJ310" s="100"/>
      <c r="AAK310" s="100"/>
      <c r="AAL310" s="100"/>
      <c r="AAM310" s="100"/>
      <c r="AAN310" s="100"/>
      <c r="AAO310" s="100"/>
      <c r="AAP310" s="100"/>
      <c r="AAQ310" s="100"/>
      <c r="AAR310" s="100"/>
      <c r="AAS310" s="100"/>
      <c r="AAT310" s="100"/>
      <c r="AAU310" s="100"/>
      <c r="AAV310" s="100"/>
      <c r="AAW310" s="100"/>
      <c r="AAX310" s="100"/>
      <c r="AAY310" s="100"/>
      <c r="AAZ310" s="100"/>
      <c r="ABA310" s="100"/>
      <c r="ABB310" s="100"/>
      <c r="ABC310" s="100"/>
      <c r="ABD310" s="100"/>
      <c r="ABE310" s="100"/>
      <c r="ABF310" s="100"/>
      <c r="ABG310" s="100"/>
      <c r="ABH310" s="100"/>
      <c r="ABI310" s="100"/>
      <c r="ABJ310" s="100"/>
      <c r="ABK310" s="100"/>
      <c r="ABL310" s="100"/>
      <c r="ABM310" s="100"/>
      <c r="ABN310" s="100"/>
      <c r="ABO310" s="100"/>
      <c r="ABP310" s="100"/>
      <c r="ABQ310" s="100"/>
      <c r="ABR310" s="100"/>
      <c r="ABS310" s="100"/>
      <c r="ABT310" s="100"/>
      <c r="ABU310" s="100"/>
      <c r="ABV310" s="100"/>
      <c r="ABW310" s="100"/>
      <c r="ABX310" s="100"/>
      <c r="ABY310" s="100"/>
      <c r="ABZ310" s="100"/>
      <c r="ACA310" s="100"/>
      <c r="ACB310" s="100"/>
      <c r="ACC310" s="100"/>
      <c r="ACD310" s="100"/>
      <c r="ACE310" s="100"/>
      <c r="ACF310" s="100"/>
      <c r="ACG310" s="100"/>
      <c r="ACH310" s="100"/>
      <c r="ACI310" s="100"/>
      <c r="ACJ310" s="100"/>
      <c r="ACK310" s="100"/>
      <c r="ACL310" s="100"/>
      <c r="ACM310" s="100"/>
      <c r="ACN310" s="100"/>
      <c r="ACO310" s="100"/>
      <c r="ACP310" s="100"/>
      <c r="ACQ310" s="100"/>
      <c r="ACR310" s="100"/>
      <c r="ACS310" s="100"/>
      <c r="ACT310" s="100"/>
      <c r="ACU310" s="100"/>
      <c r="ACV310" s="100"/>
      <c r="ACW310" s="100"/>
      <c r="ACX310" s="100"/>
      <c r="ACY310" s="100"/>
      <c r="ACZ310" s="100"/>
      <c r="ADA310" s="100"/>
      <c r="ADB310" s="100"/>
      <c r="ADC310" s="100"/>
      <c r="ADD310" s="100"/>
      <c r="ADE310" s="100"/>
      <c r="ADF310" s="100"/>
      <c r="ADG310" s="100"/>
      <c r="ADH310" s="100"/>
      <c r="ADI310" s="100"/>
      <c r="ADJ310" s="100"/>
      <c r="ADK310" s="100"/>
      <c r="ADL310" s="100"/>
      <c r="ADM310" s="100"/>
      <c r="ADN310" s="100"/>
      <c r="ADO310" s="100"/>
      <c r="ADP310" s="100"/>
      <c r="ADQ310" s="100"/>
      <c r="ADR310" s="100"/>
      <c r="ADS310" s="100"/>
      <c r="ADT310" s="100"/>
      <c r="ADU310" s="100"/>
      <c r="ADV310" s="100"/>
      <c r="ADW310" s="100"/>
      <c r="ADX310" s="100"/>
      <c r="ADY310" s="100"/>
      <c r="ADZ310" s="100"/>
      <c r="AEA310" s="100"/>
      <c r="AEB310" s="100"/>
      <c r="AEC310" s="100"/>
      <c r="AED310" s="100"/>
      <c r="AEE310" s="100"/>
      <c r="AEF310" s="100"/>
      <c r="AEG310" s="100"/>
      <c r="AEH310" s="100"/>
      <c r="AEI310" s="100"/>
      <c r="AEJ310" s="100"/>
      <c r="AEK310" s="100"/>
      <c r="AEL310" s="100"/>
      <c r="AEM310" s="100"/>
      <c r="AEN310" s="100"/>
      <c r="AEO310" s="100"/>
      <c r="AEP310" s="100"/>
      <c r="AEQ310" s="100"/>
      <c r="AER310" s="100"/>
      <c r="AES310" s="100"/>
      <c r="AET310" s="100"/>
      <c r="AEU310" s="100"/>
      <c r="AEV310" s="100"/>
      <c r="AEW310" s="100"/>
      <c r="AEX310" s="100"/>
      <c r="AEY310" s="100"/>
      <c r="AEZ310" s="100"/>
      <c r="AFA310" s="100"/>
      <c r="AFB310" s="100"/>
      <c r="AFC310" s="100"/>
      <c r="AFD310" s="100"/>
      <c r="AFE310" s="100"/>
      <c r="AFF310" s="100"/>
      <c r="AFG310" s="100"/>
      <c r="AFH310" s="100"/>
      <c r="AFI310" s="100"/>
      <c r="AFJ310" s="100"/>
      <c r="AFK310" s="100"/>
      <c r="AFL310" s="100"/>
      <c r="AFM310" s="100"/>
      <c r="AFN310" s="100"/>
      <c r="AFO310" s="100"/>
      <c r="AFP310" s="100"/>
      <c r="AFQ310" s="100"/>
      <c r="AFR310" s="100"/>
      <c r="AFS310" s="100"/>
      <c r="AFT310" s="100"/>
      <c r="AFU310" s="100"/>
      <c r="AFV310" s="100"/>
      <c r="AFW310" s="100"/>
      <c r="AFX310" s="100"/>
      <c r="AFY310" s="100"/>
      <c r="AFZ310" s="100"/>
      <c r="AGA310" s="100"/>
      <c r="AGB310" s="100"/>
      <c r="AGC310" s="100"/>
      <c r="AGD310" s="100"/>
      <c r="AGE310" s="100"/>
      <c r="AGF310" s="100"/>
      <c r="AGG310" s="100"/>
      <c r="AGH310" s="100"/>
      <c r="AGI310" s="100"/>
      <c r="AGJ310" s="100"/>
      <c r="AGK310" s="100"/>
      <c r="AGL310" s="100"/>
      <c r="AGM310" s="100"/>
      <c r="AGN310" s="100"/>
      <c r="AGO310" s="100"/>
      <c r="AGP310" s="100"/>
      <c r="AGQ310" s="100"/>
      <c r="AGR310" s="100"/>
      <c r="AGS310" s="100"/>
      <c r="AGT310" s="100"/>
      <c r="AGU310" s="100"/>
      <c r="AGV310" s="100"/>
      <c r="AGW310" s="100"/>
      <c r="AGX310" s="100"/>
      <c r="AGY310" s="100"/>
      <c r="AGZ310" s="100"/>
      <c r="AHA310" s="100"/>
      <c r="AHB310" s="100"/>
      <c r="AHC310" s="100"/>
      <c r="AHD310" s="100"/>
      <c r="AHE310" s="100"/>
      <c r="AHF310" s="100"/>
      <c r="AHG310" s="100"/>
      <c r="AHH310" s="100"/>
      <c r="AHI310" s="100"/>
      <c r="AHJ310" s="100"/>
      <c r="AHK310" s="100"/>
      <c r="AHL310" s="100"/>
      <c r="AHM310" s="100"/>
      <c r="AHN310" s="100"/>
      <c r="AHO310" s="100"/>
      <c r="AHP310" s="100"/>
      <c r="AHQ310" s="100"/>
      <c r="AHR310" s="100"/>
      <c r="AHS310" s="100"/>
      <c r="AHT310" s="100"/>
      <c r="AHU310" s="100"/>
      <c r="AHV310" s="100"/>
      <c r="AHW310" s="100"/>
      <c r="AHX310" s="100"/>
      <c r="AHY310" s="100"/>
      <c r="AHZ310" s="100"/>
      <c r="AIA310" s="100"/>
      <c r="AIB310" s="100"/>
      <c r="AIC310" s="100"/>
      <c r="AID310" s="100"/>
      <c r="AIE310" s="100"/>
      <c r="AIF310" s="100"/>
      <c r="AIG310" s="100"/>
      <c r="AIH310" s="100"/>
      <c r="AII310" s="100"/>
      <c r="AIJ310" s="100"/>
      <c r="AIK310" s="100"/>
      <c r="AIL310" s="100"/>
      <c r="AIM310" s="100"/>
      <c r="AIN310" s="100"/>
      <c r="AIO310" s="100"/>
      <c r="AIP310" s="100"/>
      <c r="AIQ310" s="100"/>
      <c r="AIR310" s="100"/>
      <c r="AIS310" s="100"/>
      <c r="AIT310" s="100"/>
      <c r="AIU310" s="100"/>
      <c r="AIV310" s="100"/>
      <c r="AIW310" s="100"/>
      <c r="AIX310" s="100"/>
      <c r="AIY310" s="100"/>
      <c r="AIZ310" s="100"/>
      <c r="AJA310" s="100"/>
      <c r="AJB310" s="100"/>
      <c r="AJC310" s="100"/>
      <c r="AJD310" s="100"/>
      <c r="AJE310" s="100"/>
      <c r="AJF310" s="100"/>
      <c r="AJG310" s="100"/>
      <c r="AJH310" s="100"/>
      <c r="AJI310" s="100"/>
      <c r="AJJ310" s="100"/>
      <c r="AJK310" s="100"/>
      <c r="AJL310" s="100"/>
      <c r="AJM310" s="100"/>
      <c r="AJN310" s="100"/>
      <c r="AJO310" s="100"/>
      <c r="AJP310" s="100"/>
      <c r="AJQ310" s="100"/>
      <c r="AJR310" s="100"/>
      <c r="AJS310" s="100"/>
      <c r="AJT310" s="100"/>
      <c r="AJU310" s="100"/>
      <c r="AJV310" s="100"/>
      <c r="AJW310" s="100"/>
      <c r="AJX310" s="100"/>
      <c r="AJY310" s="100"/>
      <c r="AJZ310" s="100"/>
      <c r="AKA310" s="100"/>
      <c r="AKB310" s="100"/>
      <c r="AKC310" s="100"/>
      <c r="AKD310" s="100"/>
      <c r="AKE310" s="100"/>
      <c r="AKF310" s="100"/>
      <c r="AKG310" s="100"/>
      <c r="AKH310" s="100"/>
      <c r="AKI310" s="100"/>
      <c r="AKJ310" s="100"/>
      <c r="AKK310" s="100"/>
      <c r="AKL310" s="100"/>
      <c r="AKM310" s="100"/>
      <c r="AKN310" s="100"/>
      <c r="AKO310" s="100"/>
      <c r="AKP310" s="100"/>
      <c r="AKQ310" s="100"/>
      <c r="AKR310" s="100"/>
      <c r="AKS310" s="100"/>
      <c r="AKT310" s="100"/>
      <c r="AKU310" s="100"/>
      <c r="AKV310" s="100"/>
      <c r="AKW310" s="100"/>
      <c r="AKX310" s="100"/>
      <c r="AKY310" s="100"/>
      <c r="AKZ310" s="100"/>
      <c r="ALA310" s="100"/>
      <c r="ALB310" s="100"/>
      <c r="ALC310" s="100"/>
      <c r="ALD310" s="100"/>
      <c r="ALE310" s="100"/>
      <c r="ALF310" s="100"/>
      <c r="ALG310" s="100"/>
      <c r="ALH310" s="100"/>
      <c r="ALI310" s="100"/>
      <c r="ALJ310" s="100"/>
      <c r="ALK310" s="100"/>
      <c r="ALL310" s="100"/>
      <c r="ALM310" s="100"/>
      <c r="ALN310" s="100"/>
      <c r="ALO310" s="100"/>
      <c r="ALP310" s="100"/>
      <c r="ALQ310" s="100"/>
      <c r="ALR310" s="100"/>
      <c r="ALS310" s="100"/>
      <c r="ALT310" s="100"/>
      <c r="ALU310" s="100"/>
      <c r="ALV310" s="100"/>
      <c r="ALW310" s="100"/>
      <c r="ALX310" s="100"/>
      <c r="ALY310" s="100"/>
      <c r="ALZ310" s="100"/>
      <c r="AMA310" s="100"/>
      <c r="AMB310" s="100"/>
      <c r="AMC310" s="100"/>
      <c r="AMD310" s="100"/>
    </row>
    <row r="311" spans="1:1018" s="127" customFormat="1" ht="11.25" customHeight="1" x14ac:dyDescent="0.15">
      <c r="A311" s="111"/>
      <c r="B311" s="126">
        <v>7</v>
      </c>
      <c r="C311" s="114">
        <v>304</v>
      </c>
      <c r="D311" s="115" t="s">
        <v>447</v>
      </c>
      <c r="E311" s="171">
        <v>1085</v>
      </c>
      <c r="F311" s="113">
        <f>ROUND(E311*Valores!$C$2,2)</f>
        <v>106119.51</v>
      </c>
      <c r="G311" s="169">
        <v>0</v>
      </c>
      <c r="H311" s="113">
        <f>ROUND(G311*Valores!$C$2,2)</f>
        <v>0</v>
      </c>
      <c r="I311" s="169">
        <v>0</v>
      </c>
      <c r="J311" s="113">
        <f>ROUND(I311*Valores!$C$2,2)</f>
        <v>0</v>
      </c>
      <c r="K311" s="169">
        <v>0</v>
      </c>
      <c r="L311" s="113">
        <f>ROUND(K311*Valores!$C$2,2)</f>
        <v>0</v>
      </c>
      <c r="M311" s="113">
        <f>ROUND(IF($H$2=0,IF(AND(A311&lt;&gt;"13-930",A311&lt;&gt;"13-940"),(SUM(F311,H311,J311,L311,W311,S311,Q311)*Valores!$C$4),0),0),2)</f>
        <v>29587.200000000001</v>
      </c>
      <c r="N311" s="113">
        <f t="shared" si="54"/>
        <v>0</v>
      </c>
      <c r="O311" s="113">
        <v>0</v>
      </c>
      <c r="P311" s="113">
        <v>0</v>
      </c>
      <c r="Q311" s="113">
        <f>IF($F$4="NO",IF(Valores!$C$28*B311&gt;Valores!$C$25,Valores!$C$25,Valores!$C$28*B311),IF(Valores!$C$28*B311&gt;Valores!$C$25,Valores!$C$25,Valores!$C$28*B311)/2)</f>
        <v>12229.279999999999</v>
      </c>
      <c r="R311" s="113">
        <v>0</v>
      </c>
      <c r="S311" s="113">
        <f t="shared" si="55"/>
        <v>0</v>
      </c>
      <c r="T311" s="113">
        <v>0</v>
      </c>
      <c r="U311" s="113">
        <v>0</v>
      </c>
      <c r="V311" s="169">
        <v>0</v>
      </c>
      <c r="W311" s="113">
        <f>ROUND(V311*Valores!$C$2,2)</f>
        <v>0</v>
      </c>
      <c r="X311" s="113">
        <v>0</v>
      </c>
      <c r="Y311" s="188">
        <v>0</v>
      </c>
      <c r="Z311" s="113">
        <v>0</v>
      </c>
      <c r="AA311" s="169">
        <v>0</v>
      </c>
      <c r="AB311" s="113">
        <f>ROUND(AA311*Valores!$C$2,2)</f>
        <v>0</v>
      </c>
      <c r="AC311" s="113"/>
      <c r="AD311" s="113">
        <f>SUM(F311,H311,J311,L311,M311,N311,O311,P311,Q311,S311,T311,U311,W311,X311,Z311,AB311,AC311)*Valores!$C$58</f>
        <v>14793.599</v>
      </c>
      <c r="AE311" s="113">
        <f t="shared" si="49"/>
        <v>162729.58899999998</v>
      </c>
      <c r="AF311" s="113">
        <v>0</v>
      </c>
      <c r="AG311" s="113">
        <f>AE311*Valores!$C$60*Valores!$C$61</f>
        <v>0</v>
      </c>
      <c r="AH311" s="113">
        <f t="shared" si="45"/>
        <v>0</v>
      </c>
      <c r="AI311" s="113">
        <f>AE311*Valores!$C$39</f>
        <v>-17900.254789999999</v>
      </c>
      <c r="AJ311" s="113">
        <f>IF(AE311&lt;Valores!$E$40,-0.02,IF(AE311&lt;Valores!$F$40,-0.03,-0.04))*AE311</f>
        <v>-3254.5917799999997</v>
      </c>
      <c r="AK311" s="113">
        <f>AE311*Valores!$C$42</f>
        <v>-8950.1273949999995</v>
      </c>
      <c r="AL311" s="113">
        <v>0</v>
      </c>
      <c r="AM311" s="113">
        <v>0</v>
      </c>
      <c r="AN311" s="113">
        <f t="shared" si="50"/>
        <v>132624.61503499997</v>
      </c>
      <c r="AO311" s="113">
        <f t="shared" si="44"/>
        <v>-17900.254789999999</v>
      </c>
      <c r="AP311" s="113">
        <f t="shared" si="51"/>
        <v>-3254.5917799999997</v>
      </c>
      <c r="AQ311" s="113">
        <f>AE311*Valores!$C$43</f>
        <v>-4393.6989029999995</v>
      </c>
      <c r="AR311" s="113">
        <f>AE311*Valores!$C$44</f>
        <v>-488.18876699999993</v>
      </c>
      <c r="AS311" s="113">
        <f t="shared" si="46"/>
        <v>136692.85475999999</v>
      </c>
      <c r="AT311" s="113">
        <f>AE311*Valores!$C$46</f>
        <v>26036.734239999998</v>
      </c>
      <c r="AU311" s="113">
        <f>AE311*Valores!$C$47</f>
        <v>11391.07123</v>
      </c>
      <c r="AV311" s="113">
        <f>AE311*Valores!$C$48</f>
        <v>1627.2958899999999</v>
      </c>
      <c r="AW311" s="113">
        <f>AE311*Valores!$C$50</f>
        <v>5695.5356149999998</v>
      </c>
      <c r="AX311" s="113">
        <f>AE311*Valores!$C$52</f>
        <v>8787.397805999999</v>
      </c>
      <c r="AY311" s="113">
        <f>AE311*Valores!$C$51</f>
        <v>976.37753399999986</v>
      </c>
      <c r="AZ311" s="114"/>
      <c r="BA311" s="114"/>
      <c r="BB311" s="111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  <c r="HQ311" s="100"/>
      <c r="HR311" s="100"/>
      <c r="HS311" s="100"/>
      <c r="HT311" s="100"/>
      <c r="HU311" s="100"/>
      <c r="HV311" s="100"/>
      <c r="HW311" s="100"/>
      <c r="HX311" s="100"/>
      <c r="HY311" s="100"/>
      <c r="HZ311" s="100"/>
      <c r="IA311" s="100"/>
      <c r="IB311" s="100"/>
      <c r="IC311" s="100"/>
      <c r="ID311" s="100"/>
      <c r="IE311" s="100"/>
      <c r="IF311" s="100"/>
      <c r="IG311" s="100"/>
      <c r="IH311" s="100"/>
      <c r="II311" s="100"/>
      <c r="IJ311" s="100"/>
      <c r="IK311" s="100"/>
      <c r="IL311" s="100"/>
      <c r="IM311" s="100"/>
      <c r="IN311" s="100"/>
      <c r="IO311" s="100"/>
      <c r="IP311" s="100"/>
      <c r="IQ311" s="100"/>
      <c r="IR311" s="100"/>
      <c r="IS311" s="100"/>
      <c r="IT311" s="100"/>
      <c r="IU311" s="100"/>
      <c r="IV311" s="100"/>
      <c r="IW311" s="100"/>
      <c r="IX311" s="100"/>
      <c r="IY311" s="100"/>
      <c r="IZ311" s="100"/>
      <c r="JA311" s="100"/>
      <c r="JB311" s="100"/>
      <c r="JC311" s="100"/>
      <c r="JD311" s="100"/>
      <c r="JE311" s="100"/>
      <c r="JF311" s="100"/>
      <c r="JG311" s="100"/>
      <c r="JH311" s="100"/>
      <c r="JI311" s="100"/>
      <c r="JJ311" s="100"/>
      <c r="JK311" s="100"/>
      <c r="JL311" s="100"/>
      <c r="JM311" s="100"/>
      <c r="JN311" s="100"/>
      <c r="JO311" s="100"/>
      <c r="JP311" s="100"/>
      <c r="JQ311" s="100"/>
      <c r="JR311" s="100"/>
      <c r="JS311" s="100"/>
      <c r="JT311" s="100"/>
      <c r="JU311" s="100"/>
      <c r="JV311" s="100"/>
      <c r="JW311" s="100"/>
      <c r="JX311" s="100"/>
      <c r="JY311" s="100"/>
      <c r="JZ311" s="100"/>
      <c r="KA311" s="100"/>
      <c r="KB311" s="100"/>
      <c r="KC311" s="100"/>
      <c r="KD311" s="100"/>
      <c r="KE311" s="100"/>
      <c r="KF311" s="100"/>
      <c r="KG311" s="100"/>
      <c r="KH311" s="100"/>
      <c r="KI311" s="100"/>
      <c r="KJ311" s="100"/>
      <c r="KK311" s="100"/>
      <c r="KL311" s="100"/>
      <c r="KM311" s="100"/>
      <c r="KN311" s="100"/>
      <c r="KO311" s="100"/>
      <c r="KP311" s="100"/>
      <c r="KQ311" s="100"/>
      <c r="KR311" s="100"/>
      <c r="KS311" s="100"/>
      <c r="KT311" s="100"/>
      <c r="KU311" s="100"/>
      <c r="KV311" s="100"/>
      <c r="KW311" s="100"/>
      <c r="KX311" s="100"/>
      <c r="KY311" s="100"/>
      <c r="KZ311" s="100"/>
      <c r="LA311" s="100"/>
      <c r="LB311" s="100"/>
      <c r="LC311" s="100"/>
      <c r="LD311" s="100"/>
      <c r="LE311" s="100"/>
      <c r="LF311" s="100"/>
      <c r="LG311" s="100"/>
      <c r="LH311" s="100"/>
      <c r="LI311" s="100"/>
      <c r="LJ311" s="100"/>
      <c r="LK311" s="100"/>
      <c r="LL311" s="100"/>
      <c r="LM311" s="100"/>
      <c r="LN311" s="100"/>
      <c r="LO311" s="100"/>
      <c r="LP311" s="100"/>
      <c r="LQ311" s="100"/>
      <c r="LR311" s="100"/>
      <c r="LS311" s="100"/>
      <c r="LT311" s="100"/>
      <c r="LU311" s="100"/>
      <c r="LV311" s="100"/>
      <c r="LW311" s="100"/>
      <c r="LX311" s="100"/>
      <c r="LY311" s="100"/>
      <c r="LZ311" s="100"/>
      <c r="MA311" s="100"/>
      <c r="MB311" s="100"/>
      <c r="MC311" s="100"/>
      <c r="MD311" s="100"/>
      <c r="ME311" s="100"/>
      <c r="MF311" s="100"/>
      <c r="MG311" s="100"/>
      <c r="MH311" s="100"/>
      <c r="MI311" s="100"/>
      <c r="MJ311" s="100"/>
      <c r="MK311" s="100"/>
      <c r="ML311" s="100"/>
      <c r="MM311" s="100"/>
      <c r="MN311" s="100"/>
      <c r="MO311" s="100"/>
      <c r="MP311" s="100"/>
      <c r="MQ311" s="100"/>
      <c r="MR311" s="100"/>
      <c r="MS311" s="100"/>
      <c r="MT311" s="100"/>
      <c r="MU311" s="100"/>
      <c r="MV311" s="100"/>
      <c r="MW311" s="100"/>
      <c r="MX311" s="100"/>
      <c r="MY311" s="100"/>
      <c r="MZ311" s="100"/>
      <c r="NA311" s="100"/>
      <c r="NB311" s="100"/>
      <c r="NC311" s="100"/>
      <c r="ND311" s="100"/>
      <c r="NE311" s="100"/>
      <c r="NF311" s="100"/>
      <c r="NG311" s="100"/>
      <c r="NH311" s="100"/>
      <c r="NI311" s="100"/>
      <c r="NJ311" s="100"/>
      <c r="NK311" s="100"/>
      <c r="NL311" s="100"/>
      <c r="NM311" s="100"/>
      <c r="NN311" s="100"/>
      <c r="NO311" s="100"/>
      <c r="NP311" s="100"/>
      <c r="NQ311" s="100"/>
      <c r="NR311" s="100"/>
      <c r="NS311" s="100"/>
      <c r="NT311" s="100"/>
      <c r="NU311" s="100"/>
      <c r="NV311" s="100"/>
      <c r="NW311" s="100"/>
      <c r="NX311" s="100"/>
      <c r="NY311" s="100"/>
      <c r="NZ311" s="100"/>
      <c r="OA311" s="100"/>
      <c r="OB311" s="100"/>
      <c r="OC311" s="100"/>
      <c r="OD311" s="100"/>
      <c r="OE311" s="100"/>
      <c r="OF311" s="100"/>
      <c r="OG311" s="100"/>
      <c r="OH311" s="100"/>
      <c r="OI311" s="100"/>
      <c r="OJ311" s="100"/>
      <c r="OK311" s="100"/>
      <c r="OL311" s="100"/>
      <c r="OM311" s="100"/>
      <c r="ON311" s="100"/>
      <c r="OO311" s="100"/>
      <c r="OP311" s="100"/>
      <c r="OQ311" s="100"/>
      <c r="OR311" s="100"/>
      <c r="OS311" s="100"/>
      <c r="OT311" s="100"/>
      <c r="OU311" s="100"/>
      <c r="OV311" s="100"/>
      <c r="OW311" s="100"/>
      <c r="OX311" s="100"/>
      <c r="OY311" s="100"/>
      <c r="OZ311" s="100"/>
      <c r="PA311" s="100"/>
      <c r="PB311" s="100"/>
      <c r="PC311" s="100"/>
      <c r="PD311" s="100"/>
      <c r="PE311" s="100"/>
      <c r="PF311" s="100"/>
      <c r="PG311" s="100"/>
      <c r="PH311" s="100"/>
      <c r="PI311" s="100"/>
      <c r="PJ311" s="100"/>
      <c r="PK311" s="100"/>
      <c r="PL311" s="100"/>
      <c r="PM311" s="100"/>
      <c r="PN311" s="100"/>
      <c r="PO311" s="100"/>
      <c r="PP311" s="100"/>
      <c r="PQ311" s="100"/>
      <c r="PR311" s="100"/>
      <c r="PS311" s="100"/>
      <c r="PT311" s="100"/>
      <c r="PU311" s="100"/>
      <c r="PV311" s="100"/>
      <c r="PW311" s="100"/>
      <c r="PX311" s="100"/>
      <c r="PY311" s="100"/>
      <c r="PZ311" s="100"/>
      <c r="QA311" s="100"/>
      <c r="QB311" s="100"/>
      <c r="QC311" s="100"/>
      <c r="QD311" s="100"/>
      <c r="QE311" s="100"/>
      <c r="QF311" s="100"/>
      <c r="QG311" s="100"/>
      <c r="QH311" s="100"/>
      <c r="QI311" s="100"/>
      <c r="QJ311" s="100"/>
      <c r="QK311" s="100"/>
      <c r="QL311" s="100"/>
      <c r="QM311" s="100"/>
      <c r="QN311" s="100"/>
      <c r="QO311" s="100"/>
      <c r="QP311" s="100"/>
      <c r="QQ311" s="100"/>
      <c r="QR311" s="100"/>
      <c r="QS311" s="100"/>
      <c r="QT311" s="100"/>
      <c r="QU311" s="100"/>
      <c r="QV311" s="100"/>
      <c r="QW311" s="100"/>
      <c r="QX311" s="100"/>
      <c r="QY311" s="100"/>
      <c r="QZ311" s="100"/>
      <c r="RA311" s="100"/>
      <c r="RB311" s="100"/>
      <c r="RC311" s="100"/>
      <c r="RD311" s="100"/>
      <c r="RE311" s="100"/>
      <c r="RF311" s="100"/>
      <c r="RG311" s="100"/>
      <c r="RH311" s="100"/>
      <c r="RI311" s="100"/>
      <c r="RJ311" s="100"/>
      <c r="RK311" s="100"/>
      <c r="RL311" s="100"/>
      <c r="RM311" s="100"/>
      <c r="RN311" s="100"/>
      <c r="RO311" s="100"/>
      <c r="RP311" s="100"/>
      <c r="RQ311" s="100"/>
      <c r="RR311" s="100"/>
      <c r="RS311" s="100"/>
      <c r="RT311" s="100"/>
      <c r="RU311" s="100"/>
      <c r="RV311" s="100"/>
      <c r="RW311" s="100"/>
      <c r="RX311" s="100"/>
      <c r="RY311" s="100"/>
      <c r="RZ311" s="100"/>
      <c r="SA311" s="100"/>
      <c r="SB311" s="100"/>
      <c r="SC311" s="100"/>
      <c r="SD311" s="100"/>
      <c r="SE311" s="100"/>
      <c r="SF311" s="100"/>
      <c r="SG311" s="100"/>
      <c r="SH311" s="100"/>
      <c r="SI311" s="100"/>
      <c r="SJ311" s="100"/>
      <c r="SK311" s="100"/>
      <c r="SL311" s="100"/>
      <c r="SM311" s="100"/>
      <c r="SN311" s="100"/>
      <c r="SO311" s="100"/>
      <c r="SP311" s="100"/>
      <c r="SQ311" s="100"/>
      <c r="SR311" s="100"/>
      <c r="SS311" s="100"/>
      <c r="ST311" s="100"/>
      <c r="SU311" s="100"/>
      <c r="SV311" s="100"/>
      <c r="SW311" s="100"/>
      <c r="SX311" s="100"/>
      <c r="SY311" s="100"/>
      <c r="SZ311" s="100"/>
      <c r="TA311" s="100"/>
      <c r="TB311" s="100"/>
      <c r="TC311" s="100"/>
      <c r="TD311" s="100"/>
      <c r="TE311" s="100"/>
      <c r="TF311" s="100"/>
      <c r="TG311" s="100"/>
      <c r="TH311" s="100"/>
      <c r="TI311" s="100"/>
      <c r="TJ311" s="100"/>
      <c r="TK311" s="100"/>
      <c r="TL311" s="100"/>
      <c r="TM311" s="100"/>
      <c r="TN311" s="100"/>
      <c r="TO311" s="100"/>
      <c r="TP311" s="100"/>
      <c r="TQ311" s="100"/>
      <c r="TR311" s="100"/>
      <c r="TS311" s="100"/>
      <c r="TT311" s="100"/>
      <c r="TU311" s="100"/>
      <c r="TV311" s="100"/>
      <c r="TW311" s="100"/>
      <c r="TX311" s="100"/>
      <c r="TY311" s="100"/>
      <c r="TZ311" s="100"/>
      <c r="UA311" s="100"/>
      <c r="UB311" s="100"/>
      <c r="UC311" s="100"/>
      <c r="UD311" s="100"/>
      <c r="UE311" s="100"/>
      <c r="UF311" s="100"/>
      <c r="UG311" s="100"/>
      <c r="UH311" s="100"/>
      <c r="UI311" s="100"/>
      <c r="UJ311" s="100"/>
      <c r="UK311" s="100"/>
      <c r="UL311" s="100"/>
      <c r="UM311" s="100"/>
      <c r="UN311" s="100"/>
      <c r="UO311" s="100"/>
      <c r="UP311" s="100"/>
      <c r="UQ311" s="100"/>
      <c r="UR311" s="100"/>
      <c r="US311" s="100"/>
      <c r="UT311" s="100"/>
      <c r="UU311" s="100"/>
      <c r="UV311" s="100"/>
      <c r="UW311" s="100"/>
      <c r="UX311" s="100"/>
      <c r="UY311" s="100"/>
      <c r="UZ311" s="100"/>
      <c r="VA311" s="100"/>
      <c r="VB311" s="100"/>
      <c r="VC311" s="100"/>
      <c r="VD311" s="100"/>
      <c r="VE311" s="100"/>
      <c r="VF311" s="100"/>
      <c r="VG311" s="100"/>
      <c r="VH311" s="100"/>
      <c r="VI311" s="100"/>
      <c r="VJ311" s="100"/>
      <c r="VK311" s="100"/>
      <c r="VL311" s="100"/>
      <c r="VM311" s="100"/>
      <c r="VN311" s="100"/>
      <c r="VO311" s="100"/>
      <c r="VP311" s="100"/>
      <c r="VQ311" s="100"/>
      <c r="VR311" s="100"/>
      <c r="VS311" s="100"/>
      <c r="VT311" s="100"/>
      <c r="VU311" s="100"/>
      <c r="VV311" s="100"/>
      <c r="VW311" s="100"/>
      <c r="VX311" s="100"/>
      <c r="VY311" s="100"/>
      <c r="VZ311" s="100"/>
      <c r="WA311" s="100"/>
      <c r="WB311" s="100"/>
      <c r="WC311" s="100"/>
      <c r="WD311" s="100"/>
      <c r="WE311" s="100"/>
      <c r="WF311" s="100"/>
      <c r="WG311" s="100"/>
      <c r="WH311" s="100"/>
      <c r="WI311" s="100"/>
      <c r="WJ311" s="100"/>
      <c r="WK311" s="100"/>
      <c r="WL311" s="100"/>
      <c r="WM311" s="100"/>
      <c r="WN311" s="100"/>
      <c r="WO311" s="100"/>
      <c r="WP311" s="100"/>
      <c r="WQ311" s="100"/>
      <c r="WR311" s="100"/>
      <c r="WS311" s="100"/>
      <c r="WT311" s="100"/>
      <c r="WU311" s="100"/>
      <c r="WV311" s="100"/>
      <c r="WW311" s="100"/>
      <c r="WX311" s="100"/>
      <c r="WY311" s="100"/>
      <c r="WZ311" s="100"/>
      <c r="XA311" s="100"/>
      <c r="XB311" s="100"/>
      <c r="XC311" s="100"/>
      <c r="XD311" s="100"/>
      <c r="XE311" s="100"/>
      <c r="XF311" s="100"/>
      <c r="XG311" s="100"/>
      <c r="XH311" s="100"/>
      <c r="XI311" s="100"/>
      <c r="XJ311" s="100"/>
      <c r="XK311" s="100"/>
      <c r="XL311" s="100"/>
      <c r="XM311" s="100"/>
      <c r="XN311" s="100"/>
      <c r="XO311" s="100"/>
      <c r="XP311" s="100"/>
      <c r="XQ311" s="100"/>
      <c r="XR311" s="100"/>
      <c r="XS311" s="100"/>
      <c r="XT311" s="100"/>
      <c r="XU311" s="100"/>
      <c r="XV311" s="100"/>
      <c r="XW311" s="100"/>
      <c r="XX311" s="100"/>
      <c r="XY311" s="100"/>
      <c r="XZ311" s="100"/>
      <c r="YA311" s="100"/>
      <c r="YB311" s="100"/>
      <c r="YC311" s="100"/>
      <c r="YD311" s="100"/>
      <c r="YE311" s="100"/>
      <c r="YF311" s="100"/>
      <c r="YG311" s="100"/>
      <c r="YH311" s="100"/>
      <c r="YI311" s="100"/>
      <c r="YJ311" s="100"/>
      <c r="YK311" s="100"/>
      <c r="YL311" s="100"/>
      <c r="YM311" s="100"/>
      <c r="YN311" s="100"/>
      <c r="YO311" s="100"/>
      <c r="YP311" s="100"/>
      <c r="YQ311" s="100"/>
      <c r="YR311" s="100"/>
      <c r="YS311" s="100"/>
      <c r="YT311" s="100"/>
      <c r="YU311" s="100"/>
      <c r="YV311" s="100"/>
      <c r="YW311" s="100"/>
      <c r="YX311" s="100"/>
      <c r="YY311" s="100"/>
      <c r="YZ311" s="100"/>
      <c r="ZA311" s="100"/>
      <c r="ZB311" s="100"/>
      <c r="ZC311" s="100"/>
      <c r="ZD311" s="100"/>
      <c r="ZE311" s="100"/>
      <c r="ZF311" s="100"/>
      <c r="ZG311" s="100"/>
      <c r="ZH311" s="100"/>
      <c r="ZI311" s="100"/>
      <c r="ZJ311" s="100"/>
      <c r="ZK311" s="100"/>
      <c r="ZL311" s="100"/>
      <c r="ZM311" s="100"/>
      <c r="ZN311" s="100"/>
      <c r="ZO311" s="100"/>
      <c r="ZP311" s="100"/>
      <c r="ZQ311" s="100"/>
      <c r="ZR311" s="100"/>
      <c r="ZS311" s="100"/>
      <c r="ZT311" s="100"/>
      <c r="ZU311" s="100"/>
      <c r="ZV311" s="100"/>
      <c r="ZW311" s="100"/>
      <c r="ZX311" s="100"/>
      <c r="ZY311" s="100"/>
      <c r="ZZ311" s="100"/>
      <c r="AAA311" s="100"/>
      <c r="AAB311" s="100"/>
      <c r="AAC311" s="100"/>
      <c r="AAD311" s="100"/>
      <c r="AAE311" s="100"/>
      <c r="AAF311" s="100"/>
      <c r="AAG311" s="100"/>
      <c r="AAH311" s="100"/>
      <c r="AAI311" s="100"/>
      <c r="AAJ311" s="100"/>
      <c r="AAK311" s="100"/>
      <c r="AAL311" s="100"/>
      <c r="AAM311" s="100"/>
      <c r="AAN311" s="100"/>
      <c r="AAO311" s="100"/>
      <c r="AAP311" s="100"/>
      <c r="AAQ311" s="100"/>
      <c r="AAR311" s="100"/>
      <c r="AAS311" s="100"/>
      <c r="AAT311" s="100"/>
      <c r="AAU311" s="100"/>
      <c r="AAV311" s="100"/>
      <c r="AAW311" s="100"/>
      <c r="AAX311" s="100"/>
      <c r="AAY311" s="100"/>
      <c r="AAZ311" s="100"/>
      <c r="ABA311" s="100"/>
      <c r="ABB311" s="100"/>
      <c r="ABC311" s="100"/>
      <c r="ABD311" s="100"/>
      <c r="ABE311" s="100"/>
      <c r="ABF311" s="100"/>
      <c r="ABG311" s="100"/>
      <c r="ABH311" s="100"/>
      <c r="ABI311" s="100"/>
      <c r="ABJ311" s="100"/>
      <c r="ABK311" s="100"/>
      <c r="ABL311" s="100"/>
      <c r="ABM311" s="100"/>
      <c r="ABN311" s="100"/>
      <c r="ABO311" s="100"/>
      <c r="ABP311" s="100"/>
      <c r="ABQ311" s="100"/>
      <c r="ABR311" s="100"/>
      <c r="ABS311" s="100"/>
      <c r="ABT311" s="100"/>
      <c r="ABU311" s="100"/>
      <c r="ABV311" s="100"/>
      <c r="ABW311" s="100"/>
      <c r="ABX311" s="100"/>
      <c r="ABY311" s="100"/>
      <c r="ABZ311" s="100"/>
      <c r="ACA311" s="100"/>
      <c r="ACB311" s="100"/>
      <c r="ACC311" s="100"/>
      <c r="ACD311" s="100"/>
      <c r="ACE311" s="100"/>
      <c r="ACF311" s="100"/>
      <c r="ACG311" s="100"/>
      <c r="ACH311" s="100"/>
      <c r="ACI311" s="100"/>
      <c r="ACJ311" s="100"/>
      <c r="ACK311" s="100"/>
      <c r="ACL311" s="100"/>
      <c r="ACM311" s="100"/>
      <c r="ACN311" s="100"/>
      <c r="ACO311" s="100"/>
      <c r="ACP311" s="100"/>
      <c r="ACQ311" s="100"/>
      <c r="ACR311" s="100"/>
      <c r="ACS311" s="100"/>
      <c r="ACT311" s="100"/>
      <c r="ACU311" s="100"/>
      <c r="ACV311" s="100"/>
      <c r="ACW311" s="100"/>
      <c r="ACX311" s="100"/>
      <c r="ACY311" s="100"/>
      <c r="ACZ311" s="100"/>
      <c r="ADA311" s="100"/>
      <c r="ADB311" s="100"/>
      <c r="ADC311" s="100"/>
      <c r="ADD311" s="100"/>
      <c r="ADE311" s="100"/>
      <c r="ADF311" s="100"/>
      <c r="ADG311" s="100"/>
      <c r="ADH311" s="100"/>
      <c r="ADI311" s="100"/>
      <c r="ADJ311" s="100"/>
      <c r="ADK311" s="100"/>
      <c r="ADL311" s="100"/>
      <c r="ADM311" s="100"/>
      <c r="ADN311" s="100"/>
      <c r="ADO311" s="100"/>
      <c r="ADP311" s="100"/>
      <c r="ADQ311" s="100"/>
      <c r="ADR311" s="100"/>
      <c r="ADS311" s="100"/>
      <c r="ADT311" s="100"/>
      <c r="ADU311" s="100"/>
      <c r="ADV311" s="100"/>
      <c r="ADW311" s="100"/>
      <c r="ADX311" s="100"/>
      <c r="ADY311" s="100"/>
      <c r="ADZ311" s="100"/>
      <c r="AEA311" s="100"/>
      <c r="AEB311" s="100"/>
      <c r="AEC311" s="100"/>
      <c r="AED311" s="100"/>
      <c r="AEE311" s="100"/>
      <c r="AEF311" s="100"/>
      <c r="AEG311" s="100"/>
      <c r="AEH311" s="100"/>
      <c r="AEI311" s="100"/>
      <c r="AEJ311" s="100"/>
      <c r="AEK311" s="100"/>
      <c r="AEL311" s="100"/>
      <c r="AEM311" s="100"/>
      <c r="AEN311" s="100"/>
      <c r="AEO311" s="100"/>
      <c r="AEP311" s="100"/>
      <c r="AEQ311" s="100"/>
      <c r="AER311" s="100"/>
      <c r="AES311" s="100"/>
      <c r="AET311" s="100"/>
      <c r="AEU311" s="100"/>
      <c r="AEV311" s="100"/>
      <c r="AEW311" s="100"/>
      <c r="AEX311" s="100"/>
      <c r="AEY311" s="100"/>
      <c r="AEZ311" s="100"/>
      <c r="AFA311" s="100"/>
      <c r="AFB311" s="100"/>
      <c r="AFC311" s="100"/>
      <c r="AFD311" s="100"/>
      <c r="AFE311" s="100"/>
      <c r="AFF311" s="100"/>
      <c r="AFG311" s="100"/>
      <c r="AFH311" s="100"/>
      <c r="AFI311" s="100"/>
      <c r="AFJ311" s="100"/>
      <c r="AFK311" s="100"/>
      <c r="AFL311" s="100"/>
      <c r="AFM311" s="100"/>
      <c r="AFN311" s="100"/>
      <c r="AFO311" s="100"/>
      <c r="AFP311" s="100"/>
      <c r="AFQ311" s="100"/>
      <c r="AFR311" s="100"/>
      <c r="AFS311" s="100"/>
      <c r="AFT311" s="100"/>
      <c r="AFU311" s="100"/>
      <c r="AFV311" s="100"/>
      <c r="AFW311" s="100"/>
      <c r="AFX311" s="100"/>
      <c r="AFY311" s="100"/>
      <c r="AFZ311" s="100"/>
      <c r="AGA311" s="100"/>
      <c r="AGB311" s="100"/>
      <c r="AGC311" s="100"/>
      <c r="AGD311" s="100"/>
      <c r="AGE311" s="100"/>
      <c r="AGF311" s="100"/>
      <c r="AGG311" s="100"/>
      <c r="AGH311" s="100"/>
      <c r="AGI311" s="100"/>
      <c r="AGJ311" s="100"/>
      <c r="AGK311" s="100"/>
      <c r="AGL311" s="100"/>
      <c r="AGM311" s="100"/>
      <c r="AGN311" s="100"/>
      <c r="AGO311" s="100"/>
      <c r="AGP311" s="100"/>
      <c r="AGQ311" s="100"/>
      <c r="AGR311" s="100"/>
      <c r="AGS311" s="100"/>
      <c r="AGT311" s="100"/>
      <c r="AGU311" s="100"/>
      <c r="AGV311" s="100"/>
      <c r="AGW311" s="100"/>
      <c r="AGX311" s="100"/>
      <c r="AGY311" s="100"/>
      <c r="AGZ311" s="100"/>
      <c r="AHA311" s="100"/>
      <c r="AHB311" s="100"/>
      <c r="AHC311" s="100"/>
      <c r="AHD311" s="100"/>
      <c r="AHE311" s="100"/>
      <c r="AHF311" s="100"/>
      <c r="AHG311" s="100"/>
      <c r="AHH311" s="100"/>
      <c r="AHI311" s="100"/>
      <c r="AHJ311" s="100"/>
      <c r="AHK311" s="100"/>
      <c r="AHL311" s="100"/>
      <c r="AHM311" s="100"/>
      <c r="AHN311" s="100"/>
      <c r="AHO311" s="100"/>
      <c r="AHP311" s="100"/>
      <c r="AHQ311" s="100"/>
      <c r="AHR311" s="100"/>
      <c r="AHS311" s="100"/>
      <c r="AHT311" s="100"/>
      <c r="AHU311" s="100"/>
      <c r="AHV311" s="100"/>
      <c r="AHW311" s="100"/>
      <c r="AHX311" s="100"/>
      <c r="AHY311" s="100"/>
      <c r="AHZ311" s="100"/>
      <c r="AIA311" s="100"/>
      <c r="AIB311" s="100"/>
      <c r="AIC311" s="100"/>
      <c r="AID311" s="100"/>
      <c r="AIE311" s="100"/>
      <c r="AIF311" s="100"/>
      <c r="AIG311" s="100"/>
      <c r="AIH311" s="100"/>
      <c r="AII311" s="100"/>
      <c r="AIJ311" s="100"/>
      <c r="AIK311" s="100"/>
      <c r="AIL311" s="100"/>
      <c r="AIM311" s="100"/>
      <c r="AIN311" s="100"/>
      <c r="AIO311" s="100"/>
      <c r="AIP311" s="100"/>
      <c r="AIQ311" s="100"/>
      <c r="AIR311" s="100"/>
      <c r="AIS311" s="100"/>
      <c r="AIT311" s="100"/>
      <c r="AIU311" s="100"/>
      <c r="AIV311" s="100"/>
      <c r="AIW311" s="100"/>
      <c r="AIX311" s="100"/>
      <c r="AIY311" s="100"/>
      <c r="AIZ311" s="100"/>
      <c r="AJA311" s="100"/>
      <c r="AJB311" s="100"/>
      <c r="AJC311" s="100"/>
      <c r="AJD311" s="100"/>
      <c r="AJE311" s="100"/>
      <c r="AJF311" s="100"/>
      <c r="AJG311" s="100"/>
      <c r="AJH311" s="100"/>
      <c r="AJI311" s="100"/>
      <c r="AJJ311" s="100"/>
      <c r="AJK311" s="100"/>
      <c r="AJL311" s="100"/>
      <c r="AJM311" s="100"/>
      <c r="AJN311" s="100"/>
      <c r="AJO311" s="100"/>
      <c r="AJP311" s="100"/>
      <c r="AJQ311" s="100"/>
      <c r="AJR311" s="100"/>
      <c r="AJS311" s="100"/>
      <c r="AJT311" s="100"/>
      <c r="AJU311" s="100"/>
      <c r="AJV311" s="100"/>
      <c r="AJW311" s="100"/>
      <c r="AJX311" s="100"/>
      <c r="AJY311" s="100"/>
      <c r="AJZ311" s="100"/>
      <c r="AKA311" s="100"/>
      <c r="AKB311" s="100"/>
      <c r="AKC311" s="100"/>
      <c r="AKD311" s="100"/>
      <c r="AKE311" s="100"/>
      <c r="AKF311" s="100"/>
      <c r="AKG311" s="100"/>
      <c r="AKH311" s="100"/>
      <c r="AKI311" s="100"/>
      <c r="AKJ311" s="100"/>
      <c r="AKK311" s="100"/>
      <c r="AKL311" s="100"/>
      <c r="AKM311" s="100"/>
      <c r="AKN311" s="100"/>
      <c r="AKO311" s="100"/>
      <c r="AKP311" s="100"/>
      <c r="AKQ311" s="100"/>
      <c r="AKR311" s="100"/>
      <c r="AKS311" s="100"/>
      <c r="AKT311" s="100"/>
      <c r="AKU311" s="100"/>
      <c r="AKV311" s="100"/>
      <c r="AKW311" s="100"/>
      <c r="AKX311" s="100"/>
      <c r="AKY311" s="100"/>
      <c r="AKZ311" s="100"/>
      <c r="ALA311" s="100"/>
      <c r="ALB311" s="100"/>
      <c r="ALC311" s="100"/>
      <c r="ALD311" s="100"/>
      <c r="ALE311" s="100"/>
      <c r="ALF311" s="100"/>
      <c r="ALG311" s="100"/>
      <c r="ALH311" s="100"/>
      <c r="ALI311" s="100"/>
      <c r="ALJ311" s="100"/>
      <c r="ALK311" s="100"/>
      <c r="ALL311" s="100"/>
      <c r="ALM311" s="100"/>
      <c r="ALN311" s="100"/>
      <c r="ALO311" s="100"/>
      <c r="ALP311" s="100"/>
      <c r="ALQ311" s="100"/>
      <c r="ALR311" s="100"/>
      <c r="ALS311" s="100"/>
      <c r="ALT311" s="100"/>
      <c r="ALU311" s="100"/>
      <c r="ALV311" s="100"/>
      <c r="ALW311" s="100"/>
      <c r="ALX311" s="100"/>
      <c r="ALY311" s="100"/>
      <c r="ALZ311" s="100"/>
      <c r="AMA311" s="100"/>
      <c r="AMB311" s="100"/>
      <c r="AMC311" s="100"/>
      <c r="AMD311" s="100"/>
    </row>
    <row r="312" spans="1:1018" s="127" customFormat="1" ht="11.25" customHeight="1" x14ac:dyDescent="0.15">
      <c r="A312" s="111"/>
      <c r="B312" s="126">
        <v>8</v>
      </c>
      <c r="C312" s="114">
        <v>305</v>
      </c>
      <c r="D312" s="115" t="s">
        <v>448</v>
      </c>
      <c r="E312" s="171">
        <v>1240</v>
      </c>
      <c r="F312" s="113">
        <f>ROUND(E312*Valores!$C$2,2)</f>
        <v>121279.44</v>
      </c>
      <c r="G312" s="169">
        <v>0</v>
      </c>
      <c r="H312" s="113">
        <f>ROUND(G312*Valores!$C$2,2)</f>
        <v>0</v>
      </c>
      <c r="I312" s="169">
        <v>0</v>
      </c>
      <c r="J312" s="113">
        <f>ROUND(I312*Valores!$C$2,2)</f>
        <v>0</v>
      </c>
      <c r="K312" s="169">
        <v>0</v>
      </c>
      <c r="L312" s="113">
        <f>ROUND(K312*Valores!$C$2,2)</f>
        <v>0</v>
      </c>
      <c r="M312" s="113">
        <f>ROUND(IF($H$2=0,IF(AND(A312&lt;&gt;"13-930",A312&lt;&gt;"13-940"),(SUM(F312,H312,J312,L312,W312,S312,Q312)*Valores!$C$4),0),0),2)</f>
        <v>33813.94</v>
      </c>
      <c r="N312" s="113">
        <f t="shared" si="54"/>
        <v>0</v>
      </c>
      <c r="O312" s="113">
        <v>0</v>
      </c>
      <c r="P312" s="113">
        <v>0</v>
      </c>
      <c r="Q312" s="113">
        <f>IF($F$4="NO",IF(Valores!$C$28*B312&gt;Valores!$C$25,Valores!$C$25,Valores!$C$28*B312),IF(Valores!$C$28*B312&gt;Valores!$C$25,Valores!$C$25,Valores!$C$28*B312)/2)</f>
        <v>13976.32</v>
      </c>
      <c r="R312" s="113">
        <v>0</v>
      </c>
      <c r="S312" s="113">
        <f t="shared" si="55"/>
        <v>0</v>
      </c>
      <c r="T312" s="113">
        <v>0</v>
      </c>
      <c r="U312" s="113">
        <v>0</v>
      </c>
      <c r="V312" s="169">
        <v>0</v>
      </c>
      <c r="W312" s="113">
        <f>ROUND(V312*Valores!$C$2,2)</f>
        <v>0</v>
      </c>
      <c r="X312" s="113">
        <v>0</v>
      </c>
      <c r="Y312" s="188">
        <v>0</v>
      </c>
      <c r="Z312" s="113">
        <v>0</v>
      </c>
      <c r="AA312" s="169">
        <v>0</v>
      </c>
      <c r="AB312" s="113">
        <f>ROUND(AA312*Valores!$C$2,2)</f>
        <v>0</v>
      </c>
      <c r="AC312" s="113"/>
      <c r="AD312" s="113">
        <f>SUM(F312,H312,J312,L312,M312,N312,O312,P312,Q312,S312,T312,U312,W312,X312,Z312,AB312,AC312)*Valores!$C$58</f>
        <v>16906.97</v>
      </c>
      <c r="AE312" s="113">
        <f t="shared" si="49"/>
        <v>185976.67</v>
      </c>
      <c r="AF312" s="113">
        <v>0</v>
      </c>
      <c r="AG312" s="113">
        <f>AE312*Valores!$C$60*Valores!$C$61</f>
        <v>0</v>
      </c>
      <c r="AH312" s="113">
        <f t="shared" si="45"/>
        <v>0</v>
      </c>
      <c r="AI312" s="113">
        <f>AE312*Valores!$C$39</f>
        <v>-20457.433700000001</v>
      </c>
      <c r="AJ312" s="113">
        <f>IF(AE312&lt;Valores!$E$40,-0.02,IF(AE312&lt;Valores!$F$40,-0.03,-0.04))*AE312</f>
        <v>-3719.5334000000003</v>
      </c>
      <c r="AK312" s="113">
        <f>AE312*Valores!$C$42</f>
        <v>-10228.716850000001</v>
      </c>
      <c r="AL312" s="113">
        <v>0</v>
      </c>
      <c r="AM312" s="113">
        <v>0</v>
      </c>
      <c r="AN312" s="113">
        <f t="shared" si="50"/>
        <v>151570.98605000001</v>
      </c>
      <c r="AO312" s="113">
        <f t="shared" si="44"/>
        <v>-20457.433700000001</v>
      </c>
      <c r="AP312" s="113">
        <f t="shared" si="51"/>
        <v>-3719.5334000000003</v>
      </c>
      <c r="AQ312" s="113">
        <f>AE312*Valores!$C$43</f>
        <v>-5021.3700900000003</v>
      </c>
      <c r="AR312" s="113">
        <f>AE312*Valores!$C$44</f>
        <v>-557.93001000000004</v>
      </c>
      <c r="AS312" s="113">
        <f t="shared" si="46"/>
        <v>156220.40280000001</v>
      </c>
      <c r="AT312" s="113">
        <f>AE312*Valores!$C$46</f>
        <v>29756.267200000002</v>
      </c>
      <c r="AU312" s="113">
        <f>AE312*Valores!$C$47</f>
        <v>13018.366900000003</v>
      </c>
      <c r="AV312" s="113">
        <f>AE312*Valores!$C$48</f>
        <v>1859.7667000000001</v>
      </c>
      <c r="AW312" s="113">
        <f>AE312*Valores!$C$50</f>
        <v>6509.1834500000014</v>
      </c>
      <c r="AX312" s="113">
        <f>AE312*Valores!$C$52</f>
        <v>10042.740180000001</v>
      </c>
      <c r="AY312" s="113">
        <f>AE312*Valores!$C$51</f>
        <v>1115.8600200000001</v>
      </c>
      <c r="AZ312" s="114"/>
      <c r="BA312" s="114"/>
      <c r="BB312" s="111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  <c r="EO312" s="100"/>
      <c r="EP312" s="100"/>
      <c r="EQ312" s="100"/>
      <c r="ER312" s="100"/>
      <c r="ES312" s="100"/>
      <c r="ET312" s="100"/>
      <c r="EU312" s="100"/>
      <c r="EV312" s="100"/>
      <c r="EW312" s="100"/>
      <c r="EX312" s="100"/>
      <c r="EY312" s="100"/>
      <c r="EZ312" s="100"/>
      <c r="FA312" s="100"/>
      <c r="FB312" s="100"/>
      <c r="FC312" s="100"/>
      <c r="FD312" s="100"/>
      <c r="FE312" s="100"/>
      <c r="FF312" s="100"/>
      <c r="FG312" s="100"/>
      <c r="FH312" s="100"/>
      <c r="FI312" s="100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  <c r="GD312" s="100"/>
      <c r="GE312" s="100"/>
      <c r="GF312" s="100"/>
      <c r="GG312" s="100"/>
      <c r="GH312" s="100"/>
      <c r="GI312" s="100"/>
      <c r="GJ312" s="100"/>
      <c r="GK312" s="100"/>
      <c r="GL312" s="100"/>
      <c r="GM312" s="100"/>
      <c r="GN312" s="100"/>
      <c r="GO312" s="100"/>
      <c r="GP312" s="100"/>
      <c r="GQ312" s="100"/>
      <c r="GR312" s="100"/>
      <c r="GS312" s="100"/>
      <c r="GT312" s="100"/>
      <c r="GU312" s="100"/>
      <c r="GV312" s="100"/>
      <c r="GW312" s="100"/>
      <c r="GX312" s="100"/>
      <c r="GY312" s="100"/>
      <c r="GZ312" s="100"/>
      <c r="HA312" s="100"/>
      <c r="HB312" s="100"/>
      <c r="HC312" s="100"/>
      <c r="HD312" s="100"/>
      <c r="HE312" s="100"/>
      <c r="HF312" s="100"/>
      <c r="HG312" s="100"/>
      <c r="HH312" s="100"/>
      <c r="HI312" s="100"/>
      <c r="HJ312" s="100"/>
      <c r="HK312" s="100"/>
      <c r="HL312" s="100"/>
      <c r="HM312" s="100"/>
      <c r="HN312" s="100"/>
      <c r="HO312" s="100"/>
      <c r="HP312" s="100"/>
      <c r="HQ312" s="100"/>
      <c r="HR312" s="100"/>
      <c r="HS312" s="100"/>
      <c r="HT312" s="100"/>
      <c r="HU312" s="100"/>
      <c r="HV312" s="100"/>
      <c r="HW312" s="100"/>
      <c r="HX312" s="100"/>
      <c r="HY312" s="100"/>
      <c r="HZ312" s="100"/>
      <c r="IA312" s="100"/>
      <c r="IB312" s="100"/>
      <c r="IC312" s="100"/>
      <c r="ID312" s="100"/>
      <c r="IE312" s="100"/>
      <c r="IF312" s="100"/>
      <c r="IG312" s="100"/>
      <c r="IH312" s="100"/>
      <c r="II312" s="100"/>
      <c r="IJ312" s="100"/>
      <c r="IK312" s="100"/>
      <c r="IL312" s="100"/>
      <c r="IM312" s="100"/>
      <c r="IN312" s="100"/>
      <c r="IO312" s="100"/>
      <c r="IP312" s="100"/>
      <c r="IQ312" s="100"/>
      <c r="IR312" s="100"/>
      <c r="IS312" s="100"/>
      <c r="IT312" s="100"/>
      <c r="IU312" s="100"/>
      <c r="IV312" s="100"/>
      <c r="IW312" s="100"/>
      <c r="IX312" s="100"/>
      <c r="IY312" s="100"/>
      <c r="IZ312" s="100"/>
      <c r="JA312" s="100"/>
      <c r="JB312" s="100"/>
      <c r="JC312" s="100"/>
      <c r="JD312" s="100"/>
      <c r="JE312" s="100"/>
      <c r="JF312" s="100"/>
      <c r="JG312" s="100"/>
      <c r="JH312" s="100"/>
      <c r="JI312" s="100"/>
      <c r="JJ312" s="100"/>
      <c r="JK312" s="100"/>
      <c r="JL312" s="100"/>
      <c r="JM312" s="100"/>
      <c r="JN312" s="100"/>
      <c r="JO312" s="100"/>
      <c r="JP312" s="100"/>
      <c r="JQ312" s="100"/>
      <c r="JR312" s="100"/>
      <c r="JS312" s="100"/>
      <c r="JT312" s="100"/>
      <c r="JU312" s="100"/>
      <c r="JV312" s="100"/>
      <c r="JW312" s="100"/>
      <c r="JX312" s="100"/>
      <c r="JY312" s="100"/>
      <c r="JZ312" s="100"/>
      <c r="KA312" s="100"/>
      <c r="KB312" s="100"/>
      <c r="KC312" s="100"/>
      <c r="KD312" s="100"/>
      <c r="KE312" s="100"/>
      <c r="KF312" s="100"/>
      <c r="KG312" s="100"/>
      <c r="KH312" s="100"/>
      <c r="KI312" s="100"/>
      <c r="KJ312" s="100"/>
      <c r="KK312" s="100"/>
      <c r="KL312" s="100"/>
      <c r="KM312" s="100"/>
      <c r="KN312" s="100"/>
      <c r="KO312" s="100"/>
      <c r="KP312" s="100"/>
      <c r="KQ312" s="100"/>
      <c r="KR312" s="100"/>
      <c r="KS312" s="100"/>
      <c r="KT312" s="100"/>
      <c r="KU312" s="100"/>
      <c r="KV312" s="100"/>
      <c r="KW312" s="100"/>
      <c r="KX312" s="100"/>
      <c r="KY312" s="100"/>
      <c r="KZ312" s="100"/>
      <c r="LA312" s="100"/>
      <c r="LB312" s="100"/>
      <c r="LC312" s="100"/>
      <c r="LD312" s="100"/>
      <c r="LE312" s="100"/>
      <c r="LF312" s="100"/>
      <c r="LG312" s="100"/>
      <c r="LH312" s="100"/>
      <c r="LI312" s="100"/>
      <c r="LJ312" s="100"/>
      <c r="LK312" s="100"/>
      <c r="LL312" s="100"/>
      <c r="LM312" s="100"/>
      <c r="LN312" s="100"/>
      <c r="LO312" s="100"/>
      <c r="LP312" s="100"/>
      <c r="LQ312" s="100"/>
      <c r="LR312" s="100"/>
      <c r="LS312" s="100"/>
      <c r="LT312" s="100"/>
      <c r="LU312" s="100"/>
      <c r="LV312" s="100"/>
      <c r="LW312" s="100"/>
      <c r="LX312" s="100"/>
      <c r="LY312" s="100"/>
      <c r="LZ312" s="100"/>
      <c r="MA312" s="100"/>
      <c r="MB312" s="100"/>
      <c r="MC312" s="100"/>
      <c r="MD312" s="100"/>
      <c r="ME312" s="100"/>
      <c r="MF312" s="100"/>
      <c r="MG312" s="100"/>
      <c r="MH312" s="100"/>
      <c r="MI312" s="100"/>
      <c r="MJ312" s="100"/>
      <c r="MK312" s="100"/>
      <c r="ML312" s="100"/>
      <c r="MM312" s="100"/>
      <c r="MN312" s="100"/>
      <c r="MO312" s="100"/>
      <c r="MP312" s="100"/>
      <c r="MQ312" s="100"/>
      <c r="MR312" s="100"/>
      <c r="MS312" s="100"/>
      <c r="MT312" s="100"/>
      <c r="MU312" s="100"/>
      <c r="MV312" s="100"/>
      <c r="MW312" s="100"/>
      <c r="MX312" s="100"/>
      <c r="MY312" s="100"/>
      <c r="MZ312" s="100"/>
      <c r="NA312" s="100"/>
      <c r="NB312" s="100"/>
      <c r="NC312" s="100"/>
      <c r="ND312" s="100"/>
      <c r="NE312" s="100"/>
      <c r="NF312" s="100"/>
      <c r="NG312" s="100"/>
      <c r="NH312" s="100"/>
      <c r="NI312" s="100"/>
      <c r="NJ312" s="100"/>
      <c r="NK312" s="100"/>
      <c r="NL312" s="100"/>
      <c r="NM312" s="100"/>
      <c r="NN312" s="100"/>
      <c r="NO312" s="100"/>
      <c r="NP312" s="100"/>
      <c r="NQ312" s="100"/>
      <c r="NR312" s="100"/>
      <c r="NS312" s="100"/>
      <c r="NT312" s="100"/>
      <c r="NU312" s="100"/>
      <c r="NV312" s="100"/>
      <c r="NW312" s="100"/>
      <c r="NX312" s="100"/>
      <c r="NY312" s="100"/>
      <c r="NZ312" s="100"/>
      <c r="OA312" s="100"/>
      <c r="OB312" s="100"/>
      <c r="OC312" s="100"/>
      <c r="OD312" s="100"/>
      <c r="OE312" s="100"/>
      <c r="OF312" s="100"/>
      <c r="OG312" s="100"/>
      <c r="OH312" s="100"/>
      <c r="OI312" s="100"/>
      <c r="OJ312" s="100"/>
      <c r="OK312" s="100"/>
      <c r="OL312" s="100"/>
      <c r="OM312" s="100"/>
      <c r="ON312" s="100"/>
      <c r="OO312" s="100"/>
      <c r="OP312" s="100"/>
      <c r="OQ312" s="100"/>
      <c r="OR312" s="100"/>
      <c r="OS312" s="100"/>
      <c r="OT312" s="100"/>
      <c r="OU312" s="100"/>
      <c r="OV312" s="100"/>
      <c r="OW312" s="100"/>
      <c r="OX312" s="100"/>
      <c r="OY312" s="100"/>
      <c r="OZ312" s="100"/>
      <c r="PA312" s="100"/>
      <c r="PB312" s="100"/>
      <c r="PC312" s="100"/>
      <c r="PD312" s="100"/>
      <c r="PE312" s="100"/>
      <c r="PF312" s="100"/>
      <c r="PG312" s="100"/>
      <c r="PH312" s="100"/>
      <c r="PI312" s="100"/>
      <c r="PJ312" s="100"/>
      <c r="PK312" s="100"/>
      <c r="PL312" s="100"/>
      <c r="PM312" s="100"/>
      <c r="PN312" s="100"/>
      <c r="PO312" s="100"/>
      <c r="PP312" s="100"/>
      <c r="PQ312" s="100"/>
      <c r="PR312" s="100"/>
      <c r="PS312" s="100"/>
      <c r="PT312" s="100"/>
      <c r="PU312" s="100"/>
      <c r="PV312" s="100"/>
      <c r="PW312" s="100"/>
      <c r="PX312" s="100"/>
      <c r="PY312" s="100"/>
      <c r="PZ312" s="100"/>
      <c r="QA312" s="100"/>
      <c r="QB312" s="100"/>
      <c r="QC312" s="100"/>
      <c r="QD312" s="100"/>
      <c r="QE312" s="100"/>
      <c r="QF312" s="100"/>
      <c r="QG312" s="100"/>
      <c r="QH312" s="100"/>
      <c r="QI312" s="100"/>
      <c r="QJ312" s="100"/>
      <c r="QK312" s="100"/>
      <c r="QL312" s="100"/>
      <c r="QM312" s="100"/>
      <c r="QN312" s="100"/>
      <c r="QO312" s="100"/>
      <c r="QP312" s="100"/>
      <c r="QQ312" s="100"/>
      <c r="QR312" s="100"/>
      <c r="QS312" s="100"/>
      <c r="QT312" s="100"/>
      <c r="QU312" s="100"/>
      <c r="QV312" s="100"/>
      <c r="QW312" s="100"/>
      <c r="QX312" s="100"/>
      <c r="QY312" s="100"/>
      <c r="QZ312" s="100"/>
      <c r="RA312" s="100"/>
      <c r="RB312" s="100"/>
      <c r="RC312" s="100"/>
      <c r="RD312" s="100"/>
      <c r="RE312" s="100"/>
      <c r="RF312" s="100"/>
      <c r="RG312" s="100"/>
      <c r="RH312" s="100"/>
      <c r="RI312" s="100"/>
      <c r="RJ312" s="100"/>
      <c r="RK312" s="100"/>
      <c r="RL312" s="100"/>
      <c r="RM312" s="100"/>
      <c r="RN312" s="100"/>
      <c r="RO312" s="100"/>
      <c r="RP312" s="100"/>
      <c r="RQ312" s="100"/>
      <c r="RR312" s="100"/>
      <c r="RS312" s="100"/>
      <c r="RT312" s="100"/>
      <c r="RU312" s="100"/>
      <c r="RV312" s="100"/>
      <c r="RW312" s="100"/>
      <c r="RX312" s="100"/>
      <c r="RY312" s="100"/>
      <c r="RZ312" s="100"/>
      <c r="SA312" s="100"/>
      <c r="SB312" s="100"/>
      <c r="SC312" s="100"/>
      <c r="SD312" s="100"/>
      <c r="SE312" s="100"/>
      <c r="SF312" s="100"/>
      <c r="SG312" s="100"/>
      <c r="SH312" s="100"/>
      <c r="SI312" s="100"/>
      <c r="SJ312" s="100"/>
      <c r="SK312" s="100"/>
      <c r="SL312" s="100"/>
      <c r="SM312" s="100"/>
      <c r="SN312" s="100"/>
      <c r="SO312" s="100"/>
      <c r="SP312" s="100"/>
      <c r="SQ312" s="100"/>
      <c r="SR312" s="100"/>
      <c r="SS312" s="100"/>
      <c r="ST312" s="100"/>
      <c r="SU312" s="100"/>
      <c r="SV312" s="100"/>
      <c r="SW312" s="100"/>
      <c r="SX312" s="100"/>
      <c r="SY312" s="100"/>
      <c r="SZ312" s="100"/>
      <c r="TA312" s="100"/>
      <c r="TB312" s="100"/>
      <c r="TC312" s="100"/>
      <c r="TD312" s="100"/>
      <c r="TE312" s="100"/>
      <c r="TF312" s="100"/>
      <c r="TG312" s="100"/>
      <c r="TH312" s="100"/>
      <c r="TI312" s="100"/>
      <c r="TJ312" s="100"/>
      <c r="TK312" s="100"/>
      <c r="TL312" s="100"/>
      <c r="TM312" s="100"/>
      <c r="TN312" s="100"/>
      <c r="TO312" s="100"/>
      <c r="TP312" s="100"/>
      <c r="TQ312" s="100"/>
      <c r="TR312" s="100"/>
      <c r="TS312" s="100"/>
      <c r="TT312" s="100"/>
      <c r="TU312" s="100"/>
      <c r="TV312" s="100"/>
      <c r="TW312" s="100"/>
      <c r="TX312" s="100"/>
      <c r="TY312" s="100"/>
      <c r="TZ312" s="100"/>
      <c r="UA312" s="100"/>
      <c r="UB312" s="100"/>
      <c r="UC312" s="100"/>
      <c r="UD312" s="100"/>
      <c r="UE312" s="100"/>
      <c r="UF312" s="100"/>
      <c r="UG312" s="100"/>
      <c r="UH312" s="100"/>
      <c r="UI312" s="100"/>
      <c r="UJ312" s="100"/>
      <c r="UK312" s="100"/>
      <c r="UL312" s="100"/>
      <c r="UM312" s="100"/>
      <c r="UN312" s="100"/>
      <c r="UO312" s="100"/>
      <c r="UP312" s="100"/>
      <c r="UQ312" s="100"/>
      <c r="UR312" s="100"/>
      <c r="US312" s="100"/>
      <c r="UT312" s="100"/>
      <c r="UU312" s="100"/>
      <c r="UV312" s="100"/>
      <c r="UW312" s="100"/>
      <c r="UX312" s="100"/>
      <c r="UY312" s="100"/>
      <c r="UZ312" s="100"/>
      <c r="VA312" s="100"/>
      <c r="VB312" s="100"/>
      <c r="VC312" s="100"/>
      <c r="VD312" s="100"/>
      <c r="VE312" s="100"/>
      <c r="VF312" s="100"/>
      <c r="VG312" s="100"/>
      <c r="VH312" s="100"/>
      <c r="VI312" s="100"/>
      <c r="VJ312" s="100"/>
      <c r="VK312" s="100"/>
      <c r="VL312" s="100"/>
      <c r="VM312" s="100"/>
      <c r="VN312" s="100"/>
      <c r="VO312" s="100"/>
      <c r="VP312" s="100"/>
      <c r="VQ312" s="100"/>
      <c r="VR312" s="100"/>
      <c r="VS312" s="100"/>
      <c r="VT312" s="100"/>
      <c r="VU312" s="100"/>
      <c r="VV312" s="100"/>
      <c r="VW312" s="100"/>
      <c r="VX312" s="100"/>
      <c r="VY312" s="100"/>
      <c r="VZ312" s="100"/>
      <c r="WA312" s="100"/>
      <c r="WB312" s="100"/>
      <c r="WC312" s="100"/>
      <c r="WD312" s="100"/>
      <c r="WE312" s="100"/>
      <c r="WF312" s="100"/>
      <c r="WG312" s="100"/>
      <c r="WH312" s="100"/>
      <c r="WI312" s="100"/>
      <c r="WJ312" s="100"/>
      <c r="WK312" s="100"/>
      <c r="WL312" s="100"/>
      <c r="WM312" s="100"/>
      <c r="WN312" s="100"/>
      <c r="WO312" s="100"/>
      <c r="WP312" s="100"/>
      <c r="WQ312" s="100"/>
      <c r="WR312" s="100"/>
      <c r="WS312" s="100"/>
      <c r="WT312" s="100"/>
      <c r="WU312" s="100"/>
      <c r="WV312" s="100"/>
      <c r="WW312" s="100"/>
      <c r="WX312" s="100"/>
      <c r="WY312" s="100"/>
      <c r="WZ312" s="100"/>
      <c r="XA312" s="100"/>
      <c r="XB312" s="100"/>
      <c r="XC312" s="100"/>
      <c r="XD312" s="100"/>
      <c r="XE312" s="100"/>
      <c r="XF312" s="100"/>
      <c r="XG312" s="100"/>
      <c r="XH312" s="100"/>
      <c r="XI312" s="100"/>
      <c r="XJ312" s="100"/>
      <c r="XK312" s="100"/>
      <c r="XL312" s="100"/>
      <c r="XM312" s="100"/>
      <c r="XN312" s="100"/>
      <c r="XO312" s="100"/>
      <c r="XP312" s="100"/>
      <c r="XQ312" s="100"/>
      <c r="XR312" s="100"/>
      <c r="XS312" s="100"/>
      <c r="XT312" s="100"/>
      <c r="XU312" s="100"/>
      <c r="XV312" s="100"/>
      <c r="XW312" s="100"/>
      <c r="XX312" s="100"/>
      <c r="XY312" s="100"/>
      <c r="XZ312" s="100"/>
      <c r="YA312" s="100"/>
      <c r="YB312" s="100"/>
      <c r="YC312" s="100"/>
      <c r="YD312" s="100"/>
      <c r="YE312" s="100"/>
      <c r="YF312" s="100"/>
      <c r="YG312" s="100"/>
      <c r="YH312" s="100"/>
      <c r="YI312" s="100"/>
      <c r="YJ312" s="100"/>
      <c r="YK312" s="100"/>
      <c r="YL312" s="100"/>
      <c r="YM312" s="100"/>
      <c r="YN312" s="100"/>
      <c r="YO312" s="100"/>
      <c r="YP312" s="100"/>
      <c r="YQ312" s="100"/>
      <c r="YR312" s="100"/>
      <c r="YS312" s="100"/>
      <c r="YT312" s="100"/>
      <c r="YU312" s="100"/>
      <c r="YV312" s="100"/>
      <c r="YW312" s="100"/>
      <c r="YX312" s="100"/>
      <c r="YY312" s="100"/>
      <c r="YZ312" s="100"/>
      <c r="ZA312" s="100"/>
      <c r="ZB312" s="100"/>
      <c r="ZC312" s="100"/>
      <c r="ZD312" s="100"/>
      <c r="ZE312" s="100"/>
      <c r="ZF312" s="100"/>
      <c r="ZG312" s="100"/>
      <c r="ZH312" s="100"/>
      <c r="ZI312" s="100"/>
      <c r="ZJ312" s="100"/>
      <c r="ZK312" s="100"/>
      <c r="ZL312" s="100"/>
      <c r="ZM312" s="100"/>
      <c r="ZN312" s="100"/>
      <c r="ZO312" s="100"/>
      <c r="ZP312" s="100"/>
      <c r="ZQ312" s="100"/>
      <c r="ZR312" s="100"/>
      <c r="ZS312" s="100"/>
      <c r="ZT312" s="100"/>
      <c r="ZU312" s="100"/>
      <c r="ZV312" s="100"/>
      <c r="ZW312" s="100"/>
      <c r="ZX312" s="100"/>
      <c r="ZY312" s="100"/>
      <c r="ZZ312" s="100"/>
      <c r="AAA312" s="100"/>
      <c r="AAB312" s="100"/>
      <c r="AAC312" s="100"/>
      <c r="AAD312" s="100"/>
      <c r="AAE312" s="100"/>
      <c r="AAF312" s="100"/>
      <c r="AAG312" s="100"/>
      <c r="AAH312" s="100"/>
      <c r="AAI312" s="100"/>
      <c r="AAJ312" s="100"/>
      <c r="AAK312" s="100"/>
      <c r="AAL312" s="100"/>
      <c r="AAM312" s="100"/>
      <c r="AAN312" s="100"/>
      <c r="AAO312" s="100"/>
      <c r="AAP312" s="100"/>
      <c r="AAQ312" s="100"/>
      <c r="AAR312" s="100"/>
      <c r="AAS312" s="100"/>
      <c r="AAT312" s="100"/>
      <c r="AAU312" s="100"/>
      <c r="AAV312" s="100"/>
      <c r="AAW312" s="100"/>
      <c r="AAX312" s="100"/>
      <c r="AAY312" s="100"/>
      <c r="AAZ312" s="100"/>
      <c r="ABA312" s="100"/>
      <c r="ABB312" s="100"/>
      <c r="ABC312" s="100"/>
      <c r="ABD312" s="100"/>
      <c r="ABE312" s="100"/>
      <c r="ABF312" s="100"/>
      <c r="ABG312" s="100"/>
      <c r="ABH312" s="100"/>
      <c r="ABI312" s="100"/>
      <c r="ABJ312" s="100"/>
      <c r="ABK312" s="100"/>
      <c r="ABL312" s="100"/>
      <c r="ABM312" s="100"/>
      <c r="ABN312" s="100"/>
      <c r="ABO312" s="100"/>
      <c r="ABP312" s="100"/>
      <c r="ABQ312" s="100"/>
      <c r="ABR312" s="100"/>
      <c r="ABS312" s="100"/>
      <c r="ABT312" s="100"/>
      <c r="ABU312" s="100"/>
      <c r="ABV312" s="100"/>
      <c r="ABW312" s="100"/>
      <c r="ABX312" s="100"/>
      <c r="ABY312" s="100"/>
      <c r="ABZ312" s="100"/>
      <c r="ACA312" s="100"/>
      <c r="ACB312" s="100"/>
      <c r="ACC312" s="100"/>
      <c r="ACD312" s="100"/>
      <c r="ACE312" s="100"/>
      <c r="ACF312" s="100"/>
      <c r="ACG312" s="100"/>
      <c r="ACH312" s="100"/>
      <c r="ACI312" s="100"/>
      <c r="ACJ312" s="100"/>
      <c r="ACK312" s="100"/>
      <c r="ACL312" s="100"/>
      <c r="ACM312" s="100"/>
      <c r="ACN312" s="100"/>
      <c r="ACO312" s="100"/>
      <c r="ACP312" s="100"/>
      <c r="ACQ312" s="100"/>
      <c r="ACR312" s="100"/>
      <c r="ACS312" s="100"/>
      <c r="ACT312" s="100"/>
      <c r="ACU312" s="100"/>
      <c r="ACV312" s="100"/>
      <c r="ACW312" s="100"/>
      <c r="ACX312" s="100"/>
      <c r="ACY312" s="100"/>
      <c r="ACZ312" s="100"/>
      <c r="ADA312" s="100"/>
      <c r="ADB312" s="100"/>
      <c r="ADC312" s="100"/>
      <c r="ADD312" s="100"/>
      <c r="ADE312" s="100"/>
      <c r="ADF312" s="100"/>
      <c r="ADG312" s="100"/>
      <c r="ADH312" s="100"/>
      <c r="ADI312" s="100"/>
      <c r="ADJ312" s="100"/>
      <c r="ADK312" s="100"/>
      <c r="ADL312" s="100"/>
      <c r="ADM312" s="100"/>
      <c r="ADN312" s="100"/>
      <c r="ADO312" s="100"/>
      <c r="ADP312" s="100"/>
      <c r="ADQ312" s="100"/>
      <c r="ADR312" s="100"/>
      <c r="ADS312" s="100"/>
      <c r="ADT312" s="100"/>
      <c r="ADU312" s="100"/>
      <c r="ADV312" s="100"/>
      <c r="ADW312" s="100"/>
      <c r="ADX312" s="100"/>
      <c r="ADY312" s="100"/>
      <c r="ADZ312" s="100"/>
      <c r="AEA312" s="100"/>
      <c r="AEB312" s="100"/>
      <c r="AEC312" s="100"/>
      <c r="AED312" s="100"/>
      <c r="AEE312" s="100"/>
      <c r="AEF312" s="100"/>
      <c r="AEG312" s="100"/>
      <c r="AEH312" s="100"/>
      <c r="AEI312" s="100"/>
      <c r="AEJ312" s="100"/>
      <c r="AEK312" s="100"/>
      <c r="AEL312" s="100"/>
      <c r="AEM312" s="100"/>
      <c r="AEN312" s="100"/>
      <c r="AEO312" s="100"/>
      <c r="AEP312" s="100"/>
      <c r="AEQ312" s="100"/>
      <c r="AER312" s="100"/>
      <c r="AES312" s="100"/>
      <c r="AET312" s="100"/>
      <c r="AEU312" s="100"/>
      <c r="AEV312" s="100"/>
      <c r="AEW312" s="100"/>
      <c r="AEX312" s="100"/>
      <c r="AEY312" s="100"/>
      <c r="AEZ312" s="100"/>
      <c r="AFA312" s="100"/>
      <c r="AFB312" s="100"/>
      <c r="AFC312" s="100"/>
      <c r="AFD312" s="100"/>
      <c r="AFE312" s="100"/>
      <c r="AFF312" s="100"/>
      <c r="AFG312" s="100"/>
      <c r="AFH312" s="100"/>
      <c r="AFI312" s="100"/>
      <c r="AFJ312" s="100"/>
      <c r="AFK312" s="100"/>
      <c r="AFL312" s="100"/>
      <c r="AFM312" s="100"/>
      <c r="AFN312" s="100"/>
      <c r="AFO312" s="100"/>
      <c r="AFP312" s="100"/>
      <c r="AFQ312" s="100"/>
      <c r="AFR312" s="100"/>
      <c r="AFS312" s="100"/>
      <c r="AFT312" s="100"/>
      <c r="AFU312" s="100"/>
      <c r="AFV312" s="100"/>
      <c r="AFW312" s="100"/>
      <c r="AFX312" s="100"/>
      <c r="AFY312" s="100"/>
      <c r="AFZ312" s="100"/>
      <c r="AGA312" s="100"/>
      <c r="AGB312" s="100"/>
      <c r="AGC312" s="100"/>
      <c r="AGD312" s="100"/>
      <c r="AGE312" s="100"/>
      <c r="AGF312" s="100"/>
      <c r="AGG312" s="100"/>
      <c r="AGH312" s="100"/>
      <c r="AGI312" s="100"/>
      <c r="AGJ312" s="100"/>
      <c r="AGK312" s="100"/>
      <c r="AGL312" s="100"/>
      <c r="AGM312" s="100"/>
      <c r="AGN312" s="100"/>
      <c r="AGO312" s="100"/>
      <c r="AGP312" s="100"/>
      <c r="AGQ312" s="100"/>
      <c r="AGR312" s="100"/>
      <c r="AGS312" s="100"/>
      <c r="AGT312" s="100"/>
      <c r="AGU312" s="100"/>
      <c r="AGV312" s="100"/>
      <c r="AGW312" s="100"/>
      <c r="AGX312" s="100"/>
      <c r="AGY312" s="100"/>
      <c r="AGZ312" s="100"/>
      <c r="AHA312" s="100"/>
      <c r="AHB312" s="100"/>
      <c r="AHC312" s="100"/>
      <c r="AHD312" s="100"/>
      <c r="AHE312" s="100"/>
      <c r="AHF312" s="100"/>
      <c r="AHG312" s="100"/>
      <c r="AHH312" s="100"/>
      <c r="AHI312" s="100"/>
      <c r="AHJ312" s="100"/>
      <c r="AHK312" s="100"/>
      <c r="AHL312" s="100"/>
      <c r="AHM312" s="100"/>
      <c r="AHN312" s="100"/>
      <c r="AHO312" s="100"/>
      <c r="AHP312" s="100"/>
      <c r="AHQ312" s="100"/>
      <c r="AHR312" s="100"/>
      <c r="AHS312" s="100"/>
      <c r="AHT312" s="100"/>
      <c r="AHU312" s="100"/>
      <c r="AHV312" s="100"/>
      <c r="AHW312" s="100"/>
      <c r="AHX312" s="100"/>
      <c r="AHY312" s="100"/>
      <c r="AHZ312" s="100"/>
      <c r="AIA312" s="100"/>
      <c r="AIB312" s="100"/>
      <c r="AIC312" s="100"/>
      <c r="AID312" s="100"/>
      <c r="AIE312" s="100"/>
      <c r="AIF312" s="100"/>
      <c r="AIG312" s="100"/>
      <c r="AIH312" s="100"/>
      <c r="AII312" s="100"/>
      <c r="AIJ312" s="100"/>
      <c r="AIK312" s="100"/>
      <c r="AIL312" s="100"/>
      <c r="AIM312" s="100"/>
      <c r="AIN312" s="100"/>
      <c r="AIO312" s="100"/>
      <c r="AIP312" s="100"/>
      <c r="AIQ312" s="100"/>
      <c r="AIR312" s="100"/>
      <c r="AIS312" s="100"/>
      <c r="AIT312" s="100"/>
      <c r="AIU312" s="100"/>
      <c r="AIV312" s="100"/>
      <c r="AIW312" s="100"/>
      <c r="AIX312" s="100"/>
      <c r="AIY312" s="100"/>
      <c r="AIZ312" s="100"/>
      <c r="AJA312" s="100"/>
      <c r="AJB312" s="100"/>
      <c r="AJC312" s="100"/>
      <c r="AJD312" s="100"/>
      <c r="AJE312" s="100"/>
      <c r="AJF312" s="100"/>
      <c r="AJG312" s="100"/>
      <c r="AJH312" s="100"/>
      <c r="AJI312" s="100"/>
      <c r="AJJ312" s="100"/>
      <c r="AJK312" s="100"/>
      <c r="AJL312" s="100"/>
      <c r="AJM312" s="100"/>
      <c r="AJN312" s="100"/>
      <c r="AJO312" s="100"/>
      <c r="AJP312" s="100"/>
      <c r="AJQ312" s="100"/>
      <c r="AJR312" s="100"/>
      <c r="AJS312" s="100"/>
      <c r="AJT312" s="100"/>
      <c r="AJU312" s="100"/>
      <c r="AJV312" s="100"/>
      <c r="AJW312" s="100"/>
      <c r="AJX312" s="100"/>
      <c r="AJY312" s="100"/>
      <c r="AJZ312" s="100"/>
      <c r="AKA312" s="100"/>
      <c r="AKB312" s="100"/>
      <c r="AKC312" s="100"/>
      <c r="AKD312" s="100"/>
      <c r="AKE312" s="100"/>
      <c r="AKF312" s="100"/>
      <c r="AKG312" s="100"/>
      <c r="AKH312" s="100"/>
      <c r="AKI312" s="100"/>
      <c r="AKJ312" s="100"/>
      <c r="AKK312" s="100"/>
      <c r="AKL312" s="100"/>
      <c r="AKM312" s="100"/>
      <c r="AKN312" s="100"/>
      <c r="AKO312" s="100"/>
      <c r="AKP312" s="100"/>
      <c r="AKQ312" s="100"/>
      <c r="AKR312" s="100"/>
      <c r="AKS312" s="100"/>
      <c r="AKT312" s="100"/>
      <c r="AKU312" s="100"/>
      <c r="AKV312" s="100"/>
      <c r="AKW312" s="100"/>
      <c r="AKX312" s="100"/>
      <c r="AKY312" s="100"/>
      <c r="AKZ312" s="100"/>
      <c r="ALA312" s="100"/>
      <c r="ALB312" s="100"/>
      <c r="ALC312" s="100"/>
      <c r="ALD312" s="100"/>
      <c r="ALE312" s="100"/>
      <c r="ALF312" s="100"/>
      <c r="ALG312" s="100"/>
      <c r="ALH312" s="100"/>
      <c r="ALI312" s="100"/>
      <c r="ALJ312" s="100"/>
      <c r="ALK312" s="100"/>
      <c r="ALL312" s="100"/>
      <c r="ALM312" s="100"/>
      <c r="ALN312" s="100"/>
      <c r="ALO312" s="100"/>
      <c r="ALP312" s="100"/>
      <c r="ALQ312" s="100"/>
      <c r="ALR312" s="100"/>
      <c r="ALS312" s="100"/>
      <c r="ALT312" s="100"/>
      <c r="ALU312" s="100"/>
      <c r="ALV312" s="100"/>
      <c r="ALW312" s="100"/>
      <c r="ALX312" s="100"/>
      <c r="ALY312" s="100"/>
      <c r="ALZ312" s="100"/>
      <c r="AMA312" s="100"/>
      <c r="AMB312" s="100"/>
      <c r="AMC312" s="100"/>
      <c r="AMD312" s="100"/>
    </row>
    <row r="313" spans="1:1018" s="127" customFormat="1" ht="11.25" customHeight="1" x14ac:dyDescent="0.15">
      <c r="A313" s="111"/>
      <c r="B313" s="126">
        <v>9</v>
      </c>
      <c r="C313" s="114">
        <v>306</v>
      </c>
      <c r="D313" s="115" t="s">
        <v>449</v>
      </c>
      <c r="E313" s="171">
        <v>1395</v>
      </c>
      <c r="F313" s="113">
        <f>ROUND(E313*Valores!$C$2,2)</f>
        <v>136439.37</v>
      </c>
      <c r="G313" s="169">
        <v>0</v>
      </c>
      <c r="H313" s="113">
        <f>ROUND(G313*Valores!$C$2,2)</f>
        <v>0</v>
      </c>
      <c r="I313" s="169">
        <v>0</v>
      </c>
      <c r="J313" s="113">
        <f>ROUND(I313*Valores!$C$2,2)</f>
        <v>0</v>
      </c>
      <c r="K313" s="169">
        <v>0</v>
      </c>
      <c r="L313" s="113">
        <f>ROUND(K313*Valores!$C$2,2)</f>
        <v>0</v>
      </c>
      <c r="M313" s="113">
        <f>ROUND(IF($H$2=0,IF(AND(A313&lt;&gt;"13-930",A313&lt;&gt;"13-940"),(SUM(F313,H313,J313,L313,W313,S313,Q313)*Valores!$C$4),0),0),2)</f>
        <v>38040.68</v>
      </c>
      <c r="N313" s="113">
        <f t="shared" si="54"/>
        <v>0</v>
      </c>
      <c r="O313" s="113">
        <v>0</v>
      </c>
      <c r="P313" s="113">
        <v>0</v>
      </c>
      <c r="Q313" s="113">
        <f>IF($F$4="NO",IF(Valores!$C$28*B313&gt;Valores!$C$25,Valores!$C$25,Valores!$C$28*B313),IF(Valores!$C$28*B313&gt;Valores!$C$25,Valores!$C$25,Valores!$C$28*B313)/2)</f>
        <v>15723.36</v>
      </c>
      <c r="R313" s="113">
        <v>0</v>
      </c>
      <c r="S313" s="113">
        <f t="shared" si="55"/>
        <v>0</v>
      </c>
      <c r="T313" s="113">
        <v>0</v>
      </c>
      <c r="U313" s="113">
        <v>0</v>
      </c>
      <c r="V313" s="169">
        <v>0</v>
      </c>
      <c r="W313" s="113">
        <f>ROUND(V313*Valores!$C$2,2)</f>
        <v>0</v>
      </c>
      <c r="X313" s="113">
        <v>0</v>
      </c>
      <c r="Y313" s="188">
        <v>0</v>
      </c>
      <c r="Z313" s="113">
        <v>0</v>
      </c>
      <c r="AA313" s="169">
        <v>0</v>
      </c>
      <c r="AB313" s="113">
        <f>ROUND(AA313*Valores!$C$2,2)</f>
        <v>0</v>
      </c>
      <c r="AC313" s="113"/>
      <c r="AD313" s="113">
        <f>SUM(F313,H313,J313,L313,M313,N313,O313,P313,Q313,S313,T313,U313,W313,X313,Z313,AB313,AC313)*Valores!$C$58</f>
        <v>19020.340999999997</v>
      </c>
      <c r="AE313" s="113">
        <f t="shared" si="49"/>
        <v>209223.75099999996</v>
      </c>
      <c r="AF313" s="113">
        <v>0</v>
      </c>
      <c r="AG313" s="113">
        <f>AE313*Valores!$C$60*Valores!$C$61</f>
        <v>0</v>
      </c>
      <c r="AH313" s="113">
        <f t="shared" si="45"/>
        <v>0</v>
      </c>
      <c r="AI313" s="113">
        <f>AE313*Valores!$C$39</f>
        <v>-23014.612609999996</v>
      </c>
      <c r="AJ313" s="113">
        <f>IF(AE313&lt;Valores!$E$40,-0.02,IF(AE313&lt;Valores!$F$40,-0.03,-0.04))*AE313</f>
        <v>-4184.4750199999989</v>
      </c>
      <c r="AK313" s="113">
        <f>AE313*Valores!$C$42</f>
        <v>-11507.306304999998</v>
      </c>
      <c r="AL313" s="113">
        <v>0</v>
      </c>
      <c r="AM313" s="113">
        <v>0</v>
      </c>
      <c r="AN313" s="113">
        <f t="shared" si="50"/>
        <v>170517.35706499996</v>
      </c>
      <c r="AO313" s="113">
        <f t="shared" si="44"/>
        <v>-23014.612609999996</v>
      </c>
      <c r="AP313" s="113">
        <f t="shared" si="51"/>
        <v>-4184.4750199999989</v>
      </c>
      <c r="AQ313" s="113">
        <f>AE313*Valores!$C$43</f>
        <v>-5649.0412769999984</v>
      </c>
      <c r="AR313" s="113">
        <f>AE313*Valores!$C$44</f>
        <v>-627.67125299999987</v>
      </c>
      <c r="AS313" s="113">
        <f t="shared" si="46"/>
        <v>175747.95083999998</v>
      </c>
      <c r="AT313" s="113">
        <f>AE313*Valores!$C$46</f>
        <v>33475.800159999992</v>
      </c>
      <c r="AU313" s="113">
        <f>AE313*Valores!$C$47</f>
        <v>14645.662569999999</v>
      </c>
      <c r="AV313" s="113">
        <f>AE313*Valores!$C$48</f>
        <v>2092.2375099999995</v>
      </c>
      <c r="AW313" s="113">
        <f>AE313*Valores!$C$50</f>
        <v>7322.8312849999993</v>
      </c>
      <c r="AX313" s="113">
        <f>AE313*Valores!$C$52</f>
        <v>11298.082553999997</v>
      </c>
      <c r="AY313" s="113">
        <f>AE313*Valores!$C$51</f>
        <v>1255.3425059999997</v>
      </c>
      <c r="AZ313" s="114"/>
      <c r="BA313" s="114"/>
      <c r="BB313" s="111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  <c r="HQ313" s="100"/>
      <c r="HR313" s="100"/>
      <c r="HS313" s="100"/>
      <c r="HT313" s="100"/>
      <c r="HU313" s="100"/>
      <c r="HV313" s="100"/>
      <c r="HW313" s="100"/>
      <c r="HX313" s="100"/>
      <c r="HY313" s="100"/>
      <c r="HZ313" s="100"/>
      <c r="IA313" s="100"/>
      <c r="IB313" s="100"/>
      <c r="IC313" s="100"/>
      <c r="ID313" s="100"/>
      <c r="IE313" s="100"/>
      <c r="IF313" s="100"/>
      <c r="IG313" s="100"/>
      <c r="IH313" s="100"/>
      <c r="II313" s="100"/>
      <c r="IJ313" s="100"/>
      <c r="IK313" s="100"/>
      <c r="IL313" s="100"/>
      <c r="IM313" s="100"/>
      <c r="IN313" s="100"/>
      <c r="IO313" s="100"/>
      <c r="IP313" s="100"/>
      <c r="IQ313" s="100"/>
      <c r="IR313" s="100"/>
      <c r="IS313" s="100"/>
      <c r="IT313" s="100"/>
      <c r="IU313" s="100"/>
      <c r="IV313" s="100"/>
      <c r="IW313" s="100"/>
      <c r="IX313" s="100"/>
      <c r="IY313" s="100"/>
      <c r="IZ313" s="100"/>
      <c r="JA313" s="100"/>
      <c r="JB313" s="100"/>
      <c r="JC313" s="100"/>
      <c r="JD313" s="100"/>
      <c r="JE313" s="100"/>
      <c r="JF313" s="100"/>
      <c r="JG313" s="100"/>
      <c r="JH313" s="100"/>
      <c r="JI313" s="100"/>
      <c r="JJ313" s="100"/>
      <c r="JK313" s="100"/>
      <c r="JL313" s="100"/>
      <c r="JM313" s="100"/>
      <c r="JN313" s="100"/>
      <c r="JO313" s="100"/>
      <c r="JP313" s="100"/>
      <c r="JQ313" s="100"/>
      <c r="JR313" s="100"/>
      <c r="JS313" s="100"/>
      <c r="JT313" s="100"/>
      <c r="JU313" s="100"/>
      <c r="JV313" s="100"/>
      <c r="JW313" s="100"/>
      <c r="JX313" s="100"/>
      <c r="JY313" s="100"/>
      <c r="JZ313" s="100"/>
      <c r="KA313" s="100"/>
      <c r="KB313" s="100"/>
      <c r="KC313" s="100"/>
      <c r="KD313" s="100"/>
      <c r="KE313" s="100"/>
      <c r="KF313" s="100"/>
      <c r="KG313" s="100"/>
      <c r="KH313" s="100"/>
      <c r="KI313" s="100"/>
      <c r="KJ313" s="100"/>
      <c r="KK313" s="100"/>
      <c r="KL313" s="100"/>
      <c r="KM313" s="100"/>
      <c r="KN313" s="100"/>
      <c r="KO313" s="100"/>
      <c r="KP313" s="100"/>
      <c r="KQ313" s="100"/>
      <c r="KR313" s="100"/>
      <c r="KS313" s="100"/>
      <c r="KT313" s="100"/>
      <c r="KU313" s="100"/>
      <c r="KV313" s="100"/>
      <c r="KW313" s="100"/>
      <c r="KX313" s="100"/>
      <c r="KY313" s="100"/>
      <c r="KZ313" s="100"/>
      <c r="LA313" s="100"/>
      <c r="LB313" s="100"/>
      <c r="LC313" s="100"/>
      <c r="LD313" s="100"/>
      <c r="LE313" s="100"/>
      <c r="LF313" s="100"/>
      <c r="LG313" s="100"/>
      <c r="LH313" s="100"/>
      <c r="LI313" s="100"/>
      <c r="LJ313" s="100"/>
      <c r="LK313" s="100"/>
      <c r="LL313" s="100"/>
      <c r="LM313" s="100"/>
      <c r="LN313" s="100"/>
      <c r="LO313" s="100"/>
      <c r="LP313" s="100"/>
      <c r="LQ313" s="100"/>
      <c r="LR313" s="100"/>
      <c r="LS313" s="100"/>
      <c r="LT313" s="100"/>
      <c r="LU313" s="100"/>
      <c r="LV313" s="100"/>
      <c r="LW313" s="100"/>
      <c r="LX313" s="100"/>
      <c r="LY313" s="100"/>
      <c r="LZ313" s="100"/>
      <c r="MA313" s="100"/>
      <c r="MB313" s="100"/>
      <c r="MC313" s="100"/>
      <c r="MD313" s="100"/>
      <c r="ME313" s="100"/>
      <c r="MF313" s="100"/>
      <c r="MG313" s="100"/>
      <c r="MH313" s="100"/>
      <c r="MI313" s="100"/>
      <c r="MJ313" s="100"/>
      <c r="MK313" s="100"/>
      <c r="ML313" s="100"/>
      <c r="MM313" s="100"/>
      <c r="MN313" s="100"/>
      <c r="MO313" s="100"/>
      <c r="MP313" s="100"/>
      <c r="MQ313" s="100"/>
      <c r="MR313" s="100"/>
      <c r="MS313" s="100"/>
      <c r="MT313" s="100"/>
      <c r="MU313" s="100"/>
      <c r="MV313" s="100"/>
      <c r="MW313" s="100"/>
      <c r="MX313" s="100"/>
      <c r="MY313" s="100"/>
      <c r="MZ313" s="100"/>
      <c r="NA313" s="100"/>
      <c r="NB313" s="100"/>
      <c r="NC313" s="100"/>
      <c r="ND313" s="100"/>
      <c r="NE313" s="100"/>
      <c r="NF313" s="100"/>
      <c r="NG313" s="100"/>
      <c r="NH313" s="100"/>
      <c r="NI313" s="100"/>
      <c r="NJ313" s="100"/>
      <c r="NK313" s="100"/>
      <c r="NL313" s="100"/>
      <c r="NM313" s="100"/>
      <c r="NN313" s="100"/>
      <c r="NO313" s="100"/>
      <c r="NP313" s="100"/>
      <c r="NQ313" s="100"/>
      <c r="NR313" s="100"/>
      <c r="NS313" s="100"/>
      <c r="NT313" s="100"/>
      <c r="NU313" s="100"/>
      <c r="NV313" s="100"/>
      <c r="NW313" s="100"/>
      <c r="NX313" s="100"/>
      <c r="NY313" s="100"/>
      <c r="NZ313" s="100"/>
      <c r="OA313" s="100"/>
      <c r="OB313" s="100"/>
      <c r="OC313" s="100"/>
      <c r="OD313" s="100"/>
      <c r="OE313" s="100"/>
      <c r="OF313" s="100"/>
      <c r="OG313" s="100"/>
      <c r="OH313" s="100"/>
      <c r="OI313" s="100"/>
      <c r="OJ313" s="100"/>
      <c r="OK313" s="100"/>
      <c r="OL313" s="100"/>
      <c r="OM313" s="100"/>
      <c r="ON313" s="100"/>
      <c r="OO313" s="100"/>
      <c r="OP313" s="100"/>
      <c r="OQ313" s="100"/>
      <c r="OR313" s="100"/>
      <c r="OS313" s="100"/>
      <c r="OT313" s="100"/>
      <c r="OU313" s="100"/>
      <c r="OV313" s="100"/>
      <c r="OW313" s="100"/>
      <c r="OX313" s="100"/>
      <c r="OY313" s="100"/>
      <c r="OZ313" s="100"/>
      <c r="PA313" s="100"/>
      <c r="PB313" s="100"/>
      <c r="PC313" s="100"/>
      <c r="PD313" s="100"/>
      <c r="PE313" s="100"/>
      <c r="PF313" s="100"/>
      <c r="PG313" s="100"/>
      <c r="PH313" s="100"/>
      <c r="PI313" s="100"/>
      <c r="PJ313" s="100"/>
      <c r="PK313" s="100"/>
      <c r="PL313" s="100"/>
      <c r="PM313" s="100"/>
      <c r="PN313" s="100"/>
      <c r="PO313" s="100"/>
      <c r="PP313" s="100"/>
      <c r="PQ313" s="100"/>
      <c r="PR313" s="100"/>
      <c r="PS313" s="100"/>
      <c r="PT313" s="100"/>
      <c r="PU313" s="100"/>
      <c r="PV313" s="100"/>
      <c r="PW313" s="100"/>
      <c r="PX313" s="100"/>
      <c r="PY313" s="100"/>
      <c r="PZ313" s="100"/>
      <c r="QA313" s="100"/>
      <c r="QB313" s="100"/>
      <c r="QC313" s="100"/>
      <c r="QD313" s="100"/>
      <c r="QE313" s="100"/>
      <c r="QF313" s="100"/>
      <c r="QG313" s="100"/>
      <c r="QH313" s="100"/>
      <c r="QI313" s="100"/>
      <c r="QJ313" s="100"/>
      <c r="QK313" s="100"/>
      <c r="QL313" s="100"/>
      <c r="QM313" s="100"/>
      <c r="QN313" s="100"/>
      <c r="QO313" s="100"/>
      <c r="QP313" s="100"/>
      <c r="QQ313" s="100"/>
      <c r="QR313" s="100"/>
      <c r="QS313" s="100"/>
      <c r="QT313" s="100"/>
      <c r="QU313" s="100"/>
      <c r="QV313" s="100"/>
      <c r="QW313" s="100"/>
      <c r="QX313" s="100"/>
      <c r="QY313" s="100"/>
      <c r="QZ313" s="100"/>
      <c r="RA313" s="100"/>
      <c r="RB313" s="100"/>
      <c r="RC313" s="100"/>
      <c r="RD313" s="100"/>
      <c r="RE313" s="100"/>
      <c r="RF313" s="100"/>
      <c r="RG313" s="100"/>
      <c r="RH313" s="100"/>
      <c r="RI313" s="100"/>
      <c r="RJ313" s="100"/>
      <c r="RK313" s="100"/>
      <c r="RL313" s="100"/>
      <c r="RM313" s="100"/>
      <c r="RN313" s="100"/>
      <c r="RO313" s="100"/>
      <c r="RP313" s="100"/>
      <c r="RQ313" s="100"/>
      <c r="RR313" s="100"/>
      <c r="RS313" s="100"/>
      <c r="RT313" s="100"/>
      <c r="RU313" s="100"/>
      <c r="RV313" s="100"/>
      <c r="RW313" s="100"/>
      <c r="RX313" s="100"/>
      <c r="RY313" s="100"/>
      <c r="RZ313" s="100"/>
      <c r="SA313" s="100"/>
      <c r="SB313" s="100"/>
      <c r="SC313" s="100"/>
      <c r="SD313" s="100"/>
      <c r="SE313" s="100"/>
      <c r="SF313" s="100"/>
      <c r="SG313" s="100"/>
      <c r="SH313" s="100"/>
      <c r="SI313" s="100"/>
      <c r="SJ313" s="100"/>
      <c r="SK313" s="100"/>
      <c r="SL313" s="100"/>
      <c r="SM313" s="100"/>
      <c r="SN313" s="100"/>
      <c r="SO313" s="100"/>
      <c r="SP313" s="100"/>
      <c r="SQ313" s="100"/>
      <c r="SR313" s="100"/>
      <c r="SS313" s="100"/>
      <c r="ST313" s="100"/>
      <c r="SU313" s="100"/>
      <c r="SV313" s="100"/>
      <c r="SW313" s="100"/>
      <c r="SX313" s="100"/>
      <c r="SY313" s="100"/>
      <c r="SZ313" s="100"/>
      <c r="TA313" s="100"/>
      <c r="TB313" s="100"/>
      <c r="TC313" s="100"/>
      <c r="TD313" s="100"/>
      <c r="TE313" s="100"/>
      <c r="TF313" s="100"/>
      <c r="TG313" s="100"/>
      <c r="TH313" s="100"/>
      <c r="TI313" s="100"/>
      <c r="TJ313" s="100"/>
      <c r="TK313" s="100"/>
      <c r="TL313" s="100"/>
      <c r="TM313" s="100"/>
      <c r="TN313" s="100"/>
      <c r="TO313" s="100"/>
      <c r="TP313" s="100"/>
      <c r="TQ313" s="100"/>
      <c r="TR313" s="100"/>
      <c r="TS313" s="100"/>
      <c r="TT313" s="100"/>
      <c r="TU313" s="100"/>
      <c r="TV313" s="100"/>
      <c r="TW313" s="100"/>
      <c r="TX313" s="100"/>
      <c r="TY313" s="100"/>
      <c r="TZ313" s="100"/>
      <c r="UA313" s="100"/>
      <c r="UB313" s="100"/>
      <c r="UC313" s="100"/>
      <c r="UD313" s="100"/>
      <c r="UE313" s="100"/>
      <c r="UF313" s="100"/>
      <c r="UG313" s="100"/>
      <c r="UH313" s="100"/>
      <c r="UI313" s="100"/>
      <c r="UJ313" s="100"/>
      <c r="UK313" s="100"/>
      <c r="UL313" s="100"/>
      <c r="UM313" s="100"/>
      <c r="UN313" s="100"/>
      <c r="UO313" s="100"/>
      <c r="UP313" s="100"/>
      <c r="UQ313" s="100"/>
      <c r="UR313" s="100"/>
      <c r="US313" s="100"/>
      <c r="UT313" s="100"/>
      <c r="UU313" s="100"/>
      <c r="UV313" s="100"/>
      <c r="UW313" s="100"/>
      <c r="UX313" s="100"/>
      <c r="UY313" s="100"/>
      <c r="UZ313" s="100"/>
      <c r="VA313" s="100"/>
      <c r="VB313" s="100"/>
      <c r="VC313" s="100"/>
      <c r="VD313" s="100"/>
      <c r="VE313" s="100"/>
      <c r="VF313" s="100"/>
      <c r="VG313" s="100"/>
      <c r="VH313" s="100"/>
      <c r="VI313" s="100"/>
      <c r="VJ313" s="100"/>
      <c r="VK313" s="100"/>
      <c r="VL313" s="100"/>
      <c r="VM313" s="100"/>
      <c r="VN313" s="100"/>
      <c r="VO313" s="100"/>
      <c r="VP313" s="100"/>
      <c r="VQ313" s="100"/>
      <c r="VR313" s="100"/>
      <c r="VS313" s="100"/>
      <c r="VT313" s="100"/>
      <c r="VU313" s="100"/>
      <c r="VV313" s="100"/>
      <c r="VW313" s="100"/>
      <c r="VX313" s="100"/>
      <c r="VY313" s="100"/>
      <c r="VZ313" s="100"/>
      <c r="WA313" s="100"/>
      <c r="WB313" s="100"/>
      <c r="WC313" s="100"/>
      <c r="WD313" s="100"/>
      <c r="WE313" s="100"/>
      <c r="WF313" s="100"/>
      <c r="WG313" s="100"/>
      <c r="WH313" s="100"/>
      <c r="WI313" s="100"/>
      <c r="WJ313" s="100"/>
      <c r="WK313" s="100"/>
      <c r="WL313" s="100"/>
      <c r="WM313" s="100"/>
      <c r="WN313" s="100"/>
      <c r="WO313" s="100"/>
      <c r="WP313" s="100"/>
      <c r="WQ313" s="100"/>
      <c r="WR313" s="100"/>
      <c r="WS313" s="100"/>
      <c r="WT313" s="100"/>
      <c r="WU313" s="100"/>
      <c r="WV313" s="100"/>
      <c r="WW313" s="100"/>
      <c r="WX313" s="100"/>
      <c r="WY313" s="100"/>
      <c r="WZ313" s="100"/>
      <c r="XA313" s="100"/>
      <c r="XB313" s="100"/>
      <c r="XC313" s="100"/>
      <c r="XD313" s="100"/>
      <c r="XE313" s="100"/>
      <c r="XF313" s="100"/>
      <c r="XG313" s="100"/>
      <c r="XH313" s="100"/>
      <c r="XI313" s="100"/>
      <c r="XJ313" s="100"/>
      <c r="XK313" s="100"/>
      <c r="XL313" s="100"/>
      <c r="XM313" s="100"/>
      <c r="XN313" s="100"/>
      <c r="XO313" s="100"/>
      <c r="XP313" s="100"/>
      <c r="XQ313" s="100"/>
      <c r="XR313" s="100"/>
      <c r="XS313" s="100"/>
      <c r="XT313" s="100"/>
      <c r="XU313" s="100"/>
      <c r="XV313" s="100"/>
      <c r="XW313" s="100"/>
      <c r="XX313" s="100"/>
      <c r="XY313" s="100"/>
      <c r="XZ313" s="100"/>
      <c r="YA313" s="100"/>
      <c r="YB313" s="100"/>
      <c r="YC313" s="100"/>
      <c r="YD313" s="100"/>
      <c r="YE313" s="100"/>
      <c r="YF313" s="100"/>
      <c r="YG313" s="100"/>
      <c r="YH313" s="100"/>
      <c r="YI313" s="100"/>
      <c r="YJ313" s="100"/>
      <c r="YK313" s="100"/>
      <c r="YL313" s="100"/>
      <c r="YM313" s="100"/>
      <c r="YN313" s="100"/>
      <c r="YO313" s="100"/>
      <c r="YP313" s="100"/>
      <c r="YQ313" s="100"/>
      <c r="YR313" s="100"/>
      <c r="YS313" s="100"/>
      <c r="YT313" s="100"/>
      <c r="YU313" s="100"/>
      <c r="YV313" s="100"/>
      <c r="YW313" s="100"/>
      <c r="YX313" s="100"/>
      <c r="YY313" s="100"/>
      <c r="YZ313" s="100"/>
      <c r="ZA313" s="100"/>
      <c r="ZB313" s="100"/>
      <c r="ZC313" s="100"/>
      <c r="ZD313" s="100"/>
      <c r="ZE313" s="100"/>
      <c r="ZF313" s="100"/>
      <c r="ZG313" s="100"/>
      <c r="ZH313" s="100"/>
      <c r="ZI313" s="100"/>
      <c r="ZJ313" s="100"/>
      <c r="ZK313" s="100"/>
      <c r="ZL313" s="100"/>
      <c r="ZM313" s="100"/>
      <c r="ZN313" s="100"/>
      <c r="ZO313" s="100"/>
      <c r="ZP313" s="100"/>
      <c r="ZQ313" s="100"/>
      <c r="ZR313" s="100"/>
      <c r="ZS313" s="100"/>
      <c r="ZT313" s="100"/>
      <c r="ZU313" s="100"/>
      <c r="ZV313" s="100"/>
      <c r="ZW313" s="100"/>
      <c r="ZX313" s="100"/>
      <c r="ZY313" s="100"/>
      <c r="ZZ313" s="100"/>
      <c r="AAA313" s="100"/>
      <c r="AAB313" s="100"/>
      <c r="AAC313" s="100"/>
      <c r="AAD313" s="100"/>
      <c r="AAE313" s="100"/>
      <c r="AAF313" s="100"/>
      <c r="AAG313" s="100"/>
      <c r="AAH313" s="100"/>
      <c r="AAI313" s="100"/>
      <c r="AAJ313" s="100"/>
      <c r="AAK313" s="100"/>
      <c r="AAL313" s="100"/>
      <c r="AAM313" s="100"/>
      <c r="AAN313" s="100"/>
      <c r="AAO313" s="100"/>
      <c r="AAP313" s="100"/>
      <c r="AAQ313" s="100"/>
      <c r="AAR313" s="100"/>
      <c r="AAS313" s="100"/>
      <c r="AAT313" s="100"/>
      <c r="AAU313" s="100"/>
      <c r="AAV313" s="100"/>
      <c r="AAW313" s="100"/>
      <c r="AAX313" s="100"/>
      <c r="AAY313" s="100"/>
      <c r="AAZ313" s="100"/>
      <c r="ABA313" s="100"/>
      <c r="ABB313" s="100"/>
      <c r="ABC313" s="100"/>
      <c r="ABD313" s="100"/>
      <c r="ABE313" s="100"/>
      <c r="ABF313" s="100"/>
      <c r="ABG313" s="100"/>
      <c r="ABH313" s="100"/>
      <c r="ABI313" s="100"/>
      <c r="ABJ313" s="100"/>
      <c r="ABK313" s="100"/>
      <c r="ABL313" s="100"/>
      <c r="ABM313" s="100"/>
      <c r="ABN313" s="100"/>
      <c r="ABO313" s="100"/>
      <c r="ABP313" s="100"/>
      <c r="ABQ313" s="100"/>
      <c r="ABR313" s="100"/>
      <c r="ABS313" s="100"/>
      <c r="ABT313" s="100"/>
      <c r="ABU313" s="100"/>
      <c r="ABV313" s="100"/>
      <c r="ABW313" s="100"/>
      <c r="ABX313" s="100"/>
      <c r="ABY313" s="100"/>
      <c r="ABZ313" s="100"/>
      <c r="ACA313" s="100"/>
      <c r="ACB313" s="100"/>
      <c r="ACC313" s="100"/>
      <c r="ACD313" s="100"/>
      <c r="ACE313" s="100"/>
      <c r="ACF313" s="100"/>
      <c r="ACG313" s="100"/>
      <c r="ACH313" s="100"/>
      <c r="ACI313" s="100"/>
      <c r="ACJ313" s="100"/>
      <c r="ACK313" s="100"/>
      <c r="ACL313" s="100"/>
      <c r="ACM313" s="100"/>
      <c r="ACN313" s="100"/>
      <c r="ACO313" s="100"/>
      <c r="ACP313" s="100"/>
      <c r="ACQ313" s="100"/>
      <c r="ACR313" s="100"/>
      <c r="ACS313" s="100"/>
      <c r="ACT313" s="100"/>
      <c r="ACU313" s="100"/>
      <c r="ACV313" s="100"/>
      <c r="ACW313" s="100"/>
      <c r="ACX313" s="100"/>
      <c r="ACY313" s="100"/>
      <c r="ACZ313" s="100"/>
      <c r="ADA313" s="100"/>
      <c r="ADB313" s="100"/>
      <c r="ADC313" s="100"/>
      <c r="ADD313" s="100"/>
      <c r="ADE313" s="100"/>
      <c r="ADF313" s="100"/>
      <c r="ADG313" s="100"/>
      <c r="ADH313" s="100"/>
      <c r="ADI313" s="100"/>
      <c r="ADJ313" s="100"/>
      <c r="ADK313" s="100"/>
      <c r="ADL313" s="100"/>
      <c r="ADM313" s="100"/>
      <c r="ADN313" s="100"/>
      <c r="ADO313" s="100"/>
      <c r="ADP313" s="100"/>
      <c r="ADQ313" s="100"/>
      <c r="ADR313" s="100"/>
      <c r="ADS313" s="100"/>
      <c r="ADT313" s="100"/>
      <c r="ADU313" s="100"/>
      <c r="ADV313" s="100"/>
      <c r="ADW313" s="100"/>
      <c r="ADX313" s="100"/>
      <c r="ADY313" s="100"/>
      <c r="ADZ313" s="100"/>
      <c r="AEA313" s="100"/>
      <c r="AEB313" s="100"/>
      <c r="AEC313" s="100"/>
      <c r="AED313" s="100"/>
      <c r="AEE313" s="100"/>
      <c r="AEF313" s="100"/>
      <c r="AEG313" s="100"/>
      <c r="AEH313" s="100"/>
      <c r="AEI313" s="100"/>
      <c r="AEJ313" s="100"/>
      <c r="AEK313" s="100"/>
      <c r="AEL313" s="100"/>
      <c r="AEM313" s="100"/>
      <c r="AEN313" s="100"/>
      <c r="AEO313" s="100"/>
      <c r="AEP313" s="100"/>
      <c r="AEQ313" s="100"/>
      <c r="AER313" s="100"/>
      <c r="AES313" s="100"/>
      <c r="AET313" s="100"/>
      <c r="AEU313" s="100"/>
      <c r="AEV313" s="100"/>
      <c r="AEW313" s="100"/>
      <c r="AEX313" s="100"/>
      <c r="AEY313" s="100"/>
      <c r="AEZ313" s="100"/>
      <c r="AFA313" s="100"/>
      <c r="AFB313" s="100"/>
      <c r="AFC313" s="100"/>
      <c r="AFD313" s="100"/>
      <c r="AFE313" s="100"/>
      <c r="AFF313" s="100"/>
      <c r="AFG313" s="100"/>
      <c r="AFH313" s="100"/>
      <c r="AFI313" s="100"/>
      <c r="AFJ313" s="100"/>
      <c r="AFK313" s="100"/>
      <c r="AFL313" s="100"/>
      <c r="AFM313" s="100"/>
      <c r="AFN313" s="100"/>
      <c r="AFO313" s="100"/>
      <c r="AFP313" s="100"/>
      <c r="AFQ313" s="100"/>
      <c r="AFR313" s="100"/>
      <c r="AFS313" s="100"/>
      <c r="AFT313" s="100"/>
      <c r="AFU313" s="100"/>
      <c r="AFV313" s="100"/>
      <c r="AFW313" s="100"/>
      <c r="AFX313" s="100"/>
      <c r="AFY313" s="100"/>
      <c r="AFZ313" s="100"/>
      <c r="AGA313" s="100"/>
      <c r="AGB313" s="100"/>
      <c r="AGC313" s="100"/>
      <c r="AGD313" s="100"/>
      <c r="AGE313" s="100"/>
      <c r="AGF313" s="100"/>
      <c r="AGG313" s="100"/>
      <c r="AGH313" s="100"/>
      <c r="AGI313" s="100"/>
      <c r="AGJ313" s="100"/>
      <c r="AGK313" s="100"/>
      <c r="AGL313" s="100"/>
      <c r="AGM313" s="100"/>
      <c r="AGN313" s="100"/>
      <c r="AGO313" s="100"/>
      <c r="AGP313" s="100"/>
      <c r="AGQ313" s="100"/>
      <c r="AGR313" s="100"/>
      <c r="AGS313" s="100"/>
      <c r="AGT313" s="100"/>
      <c r="AGU313" s="100"/>
      <c r="AGV313" s="100"/>
      <c r="AGW313" s="100"/>
      <c r="AGX313" s="100"/>
      <c r="AGY313" s="100"/>
      <c r="AGZ313" s="100"/>
      <c r="AHA313" s="100"/>
      <c r="AHB313" s="100"/>
      <c r="AHC313" s="100"/>
      <c r="AHD313" s="100"/>
      <c r="AHE313" s="100"/>
      <c r="AHF313" s="100"/>
      <c r="AHG313" s="100"/>
      <c r="AHH313" s="100"/>
      <c r="AHI313" s="100"/>
      <c r="AHJ313" s="100"/>
      <c r="AHK313" s="100"/>
      <c r="AHL313" s="100"/>
      <c r="AHM313" s="100"/>
      <c r="AHN313" s="100"/>
      <c r="AHO313" s="100"/>
      <c r="AHP313" s="100"/>
      <c r="AHQ313" s="100"/>
      <c r="AHR313" s="100"/>
      <c r="AHS313" s="100"/>
      <c r="AHT313" s="100"/>
      <c r="AHU313" s="100"/>
      <c r="AHV313" s="100"/>
      <c r="AHW313" s="100"/>
      <c r="AHX313" s="100"/>
      <c r="AHY313" s="100"/>
      <c r="AHZ313" s="100"/>
      <c r="AIA313" s="100"/>
      <c r="AIB313" s="100"/>
      <c r="AIC313" s="100"/>
      <c r="AID313" s="100"/>
      <c r="AIE313" s="100"/>
      <c r="AIF313" s="100"/>
      <c r="AIG313" s="100"/>
      <c r="AIH313" s="100"/>
      <c r="AII313" s="100"/>
      <c r="AIJ313" s="100"/>
      <c r="AIK313" s="100"/>
      <c r="AIL313" s="100"/>
      <c r="AIM313" s="100"/>
      <c r="AIN313" s="100"/>
      <c r="AIO313" s="100"/>
      <c r="AIP313" s="100"/>
      <c r="AIQ313" s="100"/>
      <c r="AIR313" s="100"/>
      <c r="AIS313" s="100"/>
      <c r="AIT313" s="100"/>
      <c r="AIU313" s="100"/>
      <c r="AIV313" s="100"/>
      <c r="AIW313" s="100"/>
      <c r="AIX313" s="100"/>
      <c r="AIY313" s="100"/>
      <c r="AIZ313" s="100"/>
      <c r="AJA313" s="100"/>
      <c r="AJB313" s="100"/>
      <c r="AJC313" s="100"/>
      <c r="AJD313" s="100"/>
      <c r="AJE313" s="100"/>
      <c r="AJF313" s="100"/>
      <c r="AJG313" s="100"/>
      <c r="AJH313" s="100"/>
      <c r="AJI313" s="100"/>
      <c r="AJJ313" s="100"/>
      <c r="AJK313" s="100"/>
      <c r="AJL313" s="100"/>
      <c r="AJM313" s="100"/>
      <c r="AJN313" s="100"/>
      <c r="AJO313" s="100"/>
      <c r="AJP313" s="100"/>
      <c r="AJQ313" s="100"/>
      <c r="AJR313" s="100"/>
      <c r="AJS313" s="100"/>
      <c r="AJT313" s="100"/>
      <c r="AJU313" s="100"/>
      <c r="AJV313" s="100"/>
      <c r="AJW313" s="100"/>
      <c r="AJX313" s="100"/>
      <c r="AJY313" s="100"/>
      <c r="AJZ313" s="100"/>
      <c r="AKA313" s="100"/>
      <c r="AKB313" s="100"/>
      <c r="AKC313" s="100"/>
      <c r="AKD313" s="100"/>
      <c r="AKE313" s="100"/>
      <c r="AKF313" s="100"/>
      <c r="AKG313" s="100"/>
      <c r="AKH313" s="100"/>
      <c r="AKI313" s="100"/>
      <c r="AKJ313" s="100"/>
      <c r="AKK313" s="100"/>
      <c r="AKL313" s="100"/>
      <c r="AKM313" s="100"/>
      <c r="AKN313" s="100"/>
      <c r="AKO313" s="100"/>
      <c r="AKP313" s="100"/>
      <c r="AKQ313" s="100"/>
      <c r="AKR313" s="100"/>
      <c r="AKS313" s="100"/>
      <c r="AKT313" s="100"/>
      <c r="AKU313" s="100"/>
      <c r="AKV313" s="100"/>
      <c r="AKW313" s="100"/>
      <c r="AKX313" s="100"/>
      <c r="AKY313" s="100"/>
      <c r="AKZ313" s="100"/>
      <c r="ALA313" s="100"/>
      <c r="ALB313" s="100"/>
      <c r="ALC313" s="100"/>
      <c r="ALD313" s="100"/>
      <c r="ALE313" s="100"/>
      <c r="ALF313" s="100"/>
      <c r="ALG313" s="100"/>
      <c r="ALH313" s="100"/>
      <c r="ALI313" s="100"/>
      <c r="ALJ313" s="100"/>
      <c r="ALK313" s="100"/>
      <c r="ALL313" s="100"/>
      <c r="ALM313" s="100"/>
      <c r="ALN313" s="100"/>
      <c r="ALO313" s="100"/>
      <c r="ALP313" s="100"/>
      <c r="ALQ313" s="100"/>
      <c r="ALR313" s="100"/>
      <c r="ALS313" s="100"/>
      <c r="ALT313" s="100"/>
      <c r="ALU313" s="100"/>
      <c r="ALV313" s="100"/>
      <c r="ALW313" s="100"/>
      <c r="ALX313" s="100"/>
      <c r="ALY313" s="100"/>
      <c r="ALZ313" s="100"/>
      <c r="AMA313" s="100"/>
      <c r="AMB313" s="100"/>
      <c r="AMC313" s="100"/>
      <c r="AMD313" s="100"/>
    </row>
    <row r="314" spans="1:1018" s="127" customFormat="1" ht="11.25" customHeight="1" x14ac:dyDescent="0.15">
      <c r="A314" s="111"/>
      <c r="B314" s="126">
        <v>10</v>
      </c>
      <c r="C314" s="114">
        <v>307</v>
      </c>
      <c r="D314" s="115" t="s">
        <v>450</v>
      </c>
      <c r="E314" s="171">
        <v>1550</v>
      </c>
      <c r="F314" s="113">
        <f>ROUND(E314*Valores!$C$2,2)</f>
        <v>151599.29999999999</v>
      </c>
      <c r="G314" s="169">
        <v>0</v>
      </c>
      <c r="H314" s="113">
        <f>ROUND(G314*Valores!$C$2,2)</f>
        <v>0</v>
      </c>
      <c r="I314" s="169">
        <v>0</v>
      </c>
      <c r="J314" s="113">
        <f>ROUND(I314*Valores!$C$2,2)</f>
        <v>0</v>
      </c>
      <c r="K314" s="169">
        <v>0</v>
      </c>
      <c r="L314" s="113">
        <f>ROUND(K314*Valores!$C$2,2)</f>
        <v>0</v>
      </c>
      <c r="M314" s="113">
        <f>ROUND(IF($H$2=0,IF(AND(A314&lt;&gt;"13-930",A314&lt;&gt;"13-940"),(SUM(F314,H314,J314,L314,W314,S314,Q314)*Valores!$C$4),0),0),2)</f>
        <v>42267.43</v>
      </c>
      <c r="N314" s="113">
        <f t="shared" si="54"/>
        <v>0</v>
      </c>
      <c r="O314" s="113">
        <v>0</v>
      </c>
      <c r="P314" s="113">
        <v>0</v>
      </c>
      <c r="Q314" s="113">
        <f>IF($F$4="NO",IF(Valores!$C$28*B314&gt;Valores!$C$25,Valores!$C$25,Valores!$C$28*B314),IF(Valores!$C$28*B314&gt;Valores!$C$25,Valores!$C$25,Valores!$C$28*B314)/2)</f>
        <v>17470.400000000001</v>
      </c>
      <c r="R314" s="113">
        <v>0</v>
      </c>
      <c r="S314" s="113">
        <f t="shared" si="55"/>
        <v>0</v>
      </c>
      <c r="T314" s="113">
        <v>0</v>
      </c>
      <c r="U314" s="113">
        <v>0</v>
      </c>
      <c r="V314" s="169">
        <v>0</v>
      </c>
      <c r="W314" s="113">
        <f>ROUND(V314*Valores!$C$2,2)</f>
        <v>0</v>
      </c>
      <c r="X314" s="113">
        <v>0</v>
      </c>
      <c r="Y314" s="188">
        <v>0</v>
      </c>
      <c r="Z314" s="113">
        <v>0</v>
      </c>
      <c r="AA314" s="169">
        <v>0</v>
      </c>
      <c r="AB314" s="113">
        <f>ROUND(AA314*Valores!$C$2,2)</f>
        <v>0</v>
      </c>
      <c r="AC314" s="113"/>
      <c r="AD314" s="113">
        <f>SUM(F314,H314,J314,L314,M314,N314,O314,P314,Q314,S314,T314,U314,W314,X314,Z314,AB314,AC314)*Valores!$C$58</f>
        <v>21133.713</v>
      </c>
      <c r="AE314" s="113">
        <f t="shared" si="49"/>
        <v>232470.84299999996</v>
      </c>
      <c r="AF314" s="113">
        <v>0</v>
      </c>
      <c r="AG314" s="113">
        <f>AE314*Valores!$C$60*Valores!$C$61</f>
        <v>0</v>
      </c>
      <c r="AH314" s="113">
        <f t="shared" si="45"/>
        <v>0</v>
      </c>
      <c r="AI314" s="113">
        <f>AE314*Valores!$C$39</f>
        <v>-25571.792729999997</v>
      </c>
      <c r="AJ314" s="113">
        <f>IF(AE314&lt;Valores!$E$40,-0.02,IF(AE314&lt;Valores!$F$40,-0.03,-0.04))*AE314</f>
        <v>-4649.4168599999994</v>
      </c>
      <c r="AK314" s="113">
        <f>AE314*Valores!$C$42</f>
        <v>-12785.896364999999</v>
      </c>
      <c r="AL314" s="113">
        <v>0</v>
      </c>
      <c r="AM314" s="113">
        <v>0</v>
      </c>
      <c r="AN314" s="113">
        <f t="shared" si="50"/>
        <v>189463.73704499996</v>
      </c>
      <c r="AO314" s="113">
        <f t="shared" si="44"/>
        <v>-25571.792729999997</v>
      </c>
      <c r="AP314" s="113">
        <f t="shared" si="51"/>
        <v>-4649.4168599999994</v>
      </c>
      <c r="AQ314" s="113">
        <f>AE314*Valores!$C$43</f>
        <v>-6276.7127609999989</v>
      </c>
      <c r="AR314" s="113">
        <f>AE314*Valores!$C$44</f>
        <v>-697.41252899999995</v>
      </c>
      <c r="AS314" s="113">
        <f t="shared" si="46"/>
        <v>195275.50811999995</v>
      </c>
      <c r="AT314" s="113">
        <f>AE314*Valores!$C$46</f>
        <v>37195.334879999995</v>
      </c>
      <c r="AU314" s="113">
        <f>AE314*Valores!$C$47</f>
        <v>16272.959009999999</v>
      </c>
      <c r="AV314" s="113">
        <f>AE314*Valores!$C$48</f>
        <v>2324.7084299999997</v>
      </c>
      <c r="AW314" s="113">
        <f>AE314*Valores!$C$50</f>
        <v>8136.4795049999993</v>
      </c>
      <c r="AX314" s="113">
        <f>AE314*Valores!$C$52</f>
        <v>12553.425521999998</v>
      </c>
      <c r="AY314" s="113">
        <f>AE314*Valores!$C$51</f>
        <v>1394.8250579999999</v>
      </c>
      <c r="AZ314" s="114"/>
      <c r="BA314" s="114"/>
      <c r="BB314" s="111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  <c r="HQ314" s="100"/>
      <c r="HR314" s="100"/>
      <c r="HS314" s="100"/>
      <c r="HT314" s="100"/>
      <c r="HU314" s="100"/>
      <c r="HV314" s="100"/>
      <c r="HW314" s="100"/>
      <c r="HX314" s="100"/>
      <c r="HY314" s="100"/>
      <c r="HZ314" s="100"/>
      <c r="IA314" s="100"/>
      <c r="IB314" s="100"/>
      <c r="IC314" s="100"/>
      <c r="ID314" s="100"/>
      <c r="IE314" s="100"/>
      <c r="IF314" s="100"/>
      <c r="IG314" s="100"/>
      <c r="IH314" s="100"/>
      <c r="II314" s="100"/>
      <c r="IJ314" s="100"/>
      <c r="IK314" s="100"/>
      <c r="IL314" s="100"/>
      <c r="IM314" s="100"/>
      <c r="IN314" s="100"/>
      <c r="IO314" s="100"/>
      <c r="IP314" s="100"/>
      <c r="IQ314" s="100"/>
      <c r="IR314" s="100"/>
      <c r="IS314" s="100"/>
      <c r="IT314" s="100"/>
      <c r="IU314" s="100"/>
      <c r="IV314" s="100"/>
      <c r="IW314" s="100"/>
      <c r="IX314" s="100"/>
      <c r="IY314" s="100"/>
      <c r="IZ314" s="100"/>
      <c r="JA314" s="100"/>
      <c r="JB314" s="100"/>
      <c r="JC314" s="100"/>
      <c r="JD314" s="100"/>
      <c r="JE314" s="100"/>
      <c r="JF314" s="100"/>
      <c r="JG314" s="100"/>
      <c r="JH314" s="100"/>
      <c r="JI314" s="100"/>
      <c r="JJ314" s="100"/>
      <c r="JK314" s="100"/>
      <c r="JL314" s="100"/>
      <c r="JM314" s="100"/>
      <c r="JN314" s="100"/>
      <c r="JO314" s="100"/>
      <c r="JP314" s="100"/>
      <c r="JQ314" s="100"/>
      <c r="JR314" s="100"/>
      <c r="JS314" s="100"/>
      <c r="JT314" s="100"/>
      <c r="JU314" s="100"/>
      <c r="JV314" s="100"/>
      <c r="JW314" s="100"/>
      <c r="JX314" s="100"/>
      <c r="JY314" s="100"/>
      <c r="JZ314" s="100"/>
      <c r="KA314" s="100"/>
      <c r="KB314" s="100"/>
      <c r="KC314" s="100"/>
      <c r="KD314" s="100"/>
      <c r="KE314" s="100"/>
      <c r="KF314" s="100"/>
      <c r="KG314" s="100"/>
      <c r="KH314" s="100"/>
      <c r="KI314" s="100"/>
      <c r="KJ314" s="100"/>
      <c r="KK314" s="100"/>
      <c r="KL314" s="100"/>
      <c r="KM314" s="100"/>
      <c r="KN314" s="100"/>
      <c r="KO314" s="100"/>
      <c r="KP314" s="100"/>
      <c r="KQ314" s="100"/>
      <c r="KR314" s="100"/>
      <c r="KS314" s="100"/>
      <c r="KT314" s="100"/>
      <c r="KU314" s="100"/>
      <c r="KV314" s="100"/>
      <c r="KW314" s="100"/>
      <c r="KX314" s="100"/>
      <c r="KY314" s="100"/>
      <c r="KZ314" s="100"/>
      <c r="LA314" s="100"/>
      <c r="LB314" s="100"/>
      <c r="LC314" s="100"/>
      <c r="LD314" s="100"/>
      <c r="LE314" s="100"/>
      <c r="LF314" s="100"/>
      <c r="LG314" s="100"/>
      <c r="LH314" s="100"/>
      <c r="LI314" s="100"/>
      <c r="LJ314" s="100"/>
      <c r="LK314" s="100"/>
      <c r="LL314" s="100"/>
      <c r="LM314" s="100"/>
      <c r="LN314" s="100"/>
      <c r="LO314" s="100"/>
      <c r="LP314" s="100"/>
      <c r="LQ314" s="100"/>
      <c r="LR314" s="100"/>
      <c r="LS314" s="100"/>
      <c r="LT314" s="100"/>
      <c r="LU314" s="100"/>
      <c r="LV314" s="100"/>
      <c r="LW314" s="100"/>
      <c r="LX314" s="100"/>
      <c r="LY314" s="100"/>
      <c r="LZ314" s="100"/>
      <c r="MA314" s="100"/>
      <c r="MB314" s="100"/>
      <c r="MC314" s="100"/>
      <c r="MD314" s="100"/>
      <c r="ME314" s="100"/>
      <c r="MF314" s="100"/>
      <c r="MG314" s="100"/>
      <c r="MH314" s="100"/>
      <c r="MI314" s="100"/>
      <c r="MJ314" s="100"/>
      <c r="MK314" s="100"/>
      <c r="ML314" s="100"/>
      <c r="MM314" s="100"/>
      <c r="MN314" s="100"/>
      <c r="MO314" s="100"/>
      <c r="MP314" s="100"/>
      <c r="MQ314" s="100"/>
      <c r="MR314" s="100"/>
      <c r="MS314" s="100"/>
      <c r="MT314" s="100"/>
      <c r="MU314" s="100"/>
      <c r="MV314" s="100"/>
      <c r="MW314" s="100"/>
      <c r="MX314" s="100"/>
      <c r="MY314" s="100"/>
      <c r="MZ314" s="100"/>
      <c r="NA314" s="100"/>
      <c r="NB314" s="100"/>
      <c r="NC314" s="100"/>
      <c r="ND314" s="100"/>
      <c r="NE314" s="100"/>
      <c r="NF314" s="100"/>
      <c r="NG314" s="100"/>
      <c r="NH314" s="100"/>
      <c r="NI314" s="100"/>
      <c r="NJ314" s="100"/>
      <c r="NK314" s="100"/>
      <c r="NL314" s="100"/>
      <c r="NM314" s="100"/>
      <c r="NN314" s="100"/>
      <c r="NO314" s="100"/>
      <c r="NP314" s="100"/>
      <c r="NQ314" s="100"/>
      <c r="NR314" s="100"/>
      <c r="NS314" s="100"/>
      <c r="NT314" s="100"/>
      <c r="NU314" s="100"/>
      <c r="NV314" s="100"/>
      <c r="NW314" s="100"/>
      <c r="NX314" s="100"/>
      <c r="NY314" s="100"/>
      <c r="NZ314" s="100"/>
      <c r="OA314" s="100"/>
      <c r="OB314" s="100"/>
      <c r="OC314" s="100"/>
      <c r="OD314" s="100"/>
      <c r="OE314" s="100"/>
      <c r="OF314" s="100"/>
      <c r="OG314" s="100"/>
      <c r="OH314" s="100"/>
      <c r="OI314" s="100"/>
      <c r="OJ314" s="100"/>
      <c r="OK314" s="100"/>
      <c r="OL314" s="100"/>
      <c r="OM314" s="100"/>
      <c r="ON314" s="100"/>
      <c r="OO314" s="100"/>
      <c r="OP314" s="100"/>
      <c r="OQ314" s="100"/>
      <c r="OR314" s="100"/>
      <c r="OS314" s="100"/>
      <c r="OT314" s="100"/>
      <c r="OU314" s="100"/>
      <c r="OV314" s="100"/>
      <c r="OW314" s="100"/>
      <c r="OX314" s="100"/>
      <c r="OY314" s="100"/>
      <c r="OZ314" s="100"/>
      <c r="PA314" s="100"/>
      <c r="PB314" s="100"/>
      <c r="PC314" s="100"/>
      <c r="PD314" s="100"/>
      <c r="PE314" s="100"/>
      <c r="PF314" s="100"/>
      <c r="PG314" s="100"/>
      <c r="PH314" s="100"/>
      <c r="PI314" s="100"/>
      <c r="PJ314" s="100"/>
      <c r="PK314" s="100"/>
      <c r="PL314" s="100"/>
      <c r="PM314" s="100"/>
      <c r="PN314" s="100"/>
      <c r="PO314" s="100"/>
      <c r="PP314" s="100"/>
      <c r="PQ314" s="100"/>
      <c r="PR314" s="100"/>
      <c r="PS314" s="100"/>
      <c r="PT314" s="100"/>
      <c r="PU314" s="100"/>
      <c r="PV314" s="100"/>
      <c r="PW314" s="100"/>
      <c r="PX314" s="100"/>
      <c r="PY314" s="100"/>
      <c r="PZ314" s="100"/>
      <c r="QA314" s="100"/>
      <c r="QB314" s="100"/>
      <c r="QC314" s="100"/>
      <c r="QD314" s="100"/>
      <c r="QE314" s="100"/>
      <c r="QF314" s="100"/>
      <c r="QG314" s="100"/>
      <c r="QH314" s="100"/>
      <c r="QI314" s="100"/>
      <c r="QJ314" s="100"/>
      <c r="QK314" s="100"/>
      <c r="QL314" s="100"/>
      <c r="QM314" s="100"/>
      <c r="QN314" s="100"/>
      <c r="QO314" s="100"/>
      <c r="QP314" s="100"/>
      <c r="QQ314" s="100"/>
      <c r="QR314" s="100"/>
      <c r="QS314" s="100"/>
      <c r="QT314" s="100"/>
      <c r="QU314" s="100"/>
      <c r="QV314" s="100"/>
      <c r="QW314" s="100"/>
      <c r="QX314" s="100"/>
      <c r="QY314" s="100"/>
      <c r="QZ314" s="100"/>
      <c r="RA314" s="100"/>
      <c r="RB314" s="100"/>
      <c r="RC314" s="100"/>
      <c r="RD314" s="100"/>
      <c r="RE314" s="100"/>
      <c r="RF314" s="100"/>
      <c r="RG314" s="100"/>
      <c r="RH314" s="100"/>
      <c r="RI314" s="100"/>
      <c r="RJ314" s="100"/>
      <c r="RK314" s="100"/>
      <c r="RL314" s="100"/>
      <c r="RM314" s="100"/>
      <c r="RN314" s="100"/>
      <c r="RO314" s="100"/>
      <c r="RP314" s="100"/>
      <c r="RQ314" s="100"/>
      <c r="RR314" s="100"/>
      <c r="RS314" s="100"/>
      <c r="RT314" s="100"/>
      <c r="RU314" s="100"/>
      <c r="RV314" s="100"/>
      <c r="RW314" s="100"/>
      <c r="RX314" s="100"/>
      <c r="RY314" s="100"/>
      <c r="RZ314" s="100"/>
      <c r="SA314" s="100"/>
      <c r="SB314" s="100"/>
      <c r="SC314" s="100"/>
      <c r="SD314" s="100"/>
      <c r="SE314" s="100"/>
      <c r="SF314" s="100"/>
      <c r="SG314" s="100"/>
      <c r="SH314" s="100"/>
      <c r="SI314" s="100"/>
      <c r="SJ314" s="100"/>
      <c r="SK314" s="100"/>
      <c r="SL314" s="100"/>
      <c r="SM314" s="100"/>
      <c r="SN314" s="100"/>
      <c r="SO314" s="100"/>
      <c r="SP314" s="100"/>
      <c r="SQ314" s="100"/>
      <c r="SR314" s="100"/>
      <c r="SS314" s="100"/>
      <c r="ST314" s="100"/>
      <c r="SU314" s="100"/>
      <c r="SV314" s="100"/>
      <c r="SW314" s="100"/>
      <c r="SX314" s="100"/>
      <c r="SY314" s="100"/>
      <c r="SZ314" s="100"/>
      <c r="TA314" s="100"/>
      <c r="TB314" s="100"/>
      <c r="TC314" s="100"/>
      <c r="TD314" s="100"/>
      <c r="TE314" s="100"/>
      <c r="TF314" s="100"/>
      <c r="TG314" s="100"/>
      <c r="TH314" s="100"/>
      <c r="TI314" s="100"/>
      <c r="TJ314" s="100"/>
      <c r="TK314" s="100"/>
      <c r="TL314" s="100"/>
      <c r="TM314" s="100"/>
      <c r="TN314" s="100"/>
      <c r="TO314" s="100"/>
      <c r="TP314" s="100"/>
      <c r="TQ314" s="100"/>
      <c r="TR314" s="100"/>
      <c r="TS314" s="100"/>
      <c r="TT314" s="100"/>
      <c r="TU314" s="100"/>
      <c r="TV314" s="100"/>
      <c r="TW314" s="100"/>
      <c r="TX314" s="100"/>
      <c r="TY314" s="100"/>
      <c r="TZ314" s="100"/>
      <c r="UA314" s="100"/>
      <c r="UB314" s="100"/>
      <c r="UC314" s="100"/>
      <c r="UD314" s="100"/>
      <c r="UE314" s="100"/>
      <c r="UF314" s="100"/>
      <c r="UG314" s="100"/>
      <c r="UH314" s="100"/>
      <c r="UI314" s="100"/>
      <c r="UJ314" s="100"/>
      <c r="UK314" s="100"/>
      <c r="UL314" s="100"/>
      <c r="UM314" s="100"/>
      <c r="UN314" s="100"/>
      <c r="UO314" s="100"/>
      <c r="UP314" s="100"/>
      <c r="UQ314" s="100"/>
      <c r="UR314" s="100"/>
      <c r="US314" s="100"/>
      <c r="UT314" s="100"/>
      <c r="UU314" s="100"/>
      <c r="UV314" s="100"/>
      <c r="UW314" s="100"/>
      <c r="UX314" s="100"/>
      <c r="UY314" s="100"/>
      <c r="UZ314" s="100"/>
      <c r="VA314" s="100"/>
      <c r="VB314" s="100"/>
      <c r="VC314" s="100"/>
      <c r="VD314" s="100"/>
      <c r="VE314" s="100"/>
      <c r="VF314" s="100"/>
      <c r="VG314" s="100"/>
      <c r="VH314" s="100"/>
      <c r="VI314" s="100"/>
      <c r="VJ314" s="100"/>
      <c r="VK314" s="100"/>
      <c r="VL314" s="100"/>
      <c r="VM314" s="100"/>
      <c r="VN314" s="100"/>
      <c r="VO314" s="100"/>
      <c r="VP314" s="100"/>
      <c r="VQ314" s="100"/>
      <c r="VR314" s="100"/>
      <c r="VS314" s="100"/>
      <c r="VT314" s="100"/>
      <c r="VU314" s="100"/>
      <c r="VV314" s="100"/>
      <c r="VW314" s="100"/>
      <c r="VX314" s="100"/>
      <c r="VY314" s="100"/>
      <c r="VZ314" s="100"/>
      <c r="WA314" s="100"/>
      <c r="WB314" s="100"/>
      <c r="WC314" s="100"/>
      <c r="WD314" s="100"/>
      <c r="WE314" s="100"/>
      <c r="WF314" s="100"/>
      <c r="WG314" s="100"/>
      <c r="WH314" s="100"/>
      <c r="WI314" s="100"/>
      <c r="WJ314" s="100"/>
      <c r="WK314" s="100"/>
      <c r="WL314" s="100"/>
      <c r="WM314" s="100"/>
      <c r="WN314" s="100"/>
      <c r="WO314" s="100"/>
      <c r="WP314" s="100"/>
      <c r="WQ314" s="100"/>
      <c r="WR314" s="100"/>
      <c r="WS314" s="100"/>
      <c r="WT314" s="100"/>
      <c r="WU314" s="100"/>
      <c r="WV314" s="100"/>
      <c r="WW314" s="100"/>
      <c r="WX314" s="100"/>
      <c r="WY314" s="100"/>
      <c r="WZ314" s="100"/>
      <c r="XA314" s="100"/>
      <c r="XB314" s="100"/>
      <c r="XC314" s="100"/>
      <c r="XD314" s="100"/>
      <c r="XE314" s="100"/>
      <c r="XF314" s="100"/>
      <c r="XG314" s="100"/>
      <c r="XH314" s="100"/>
      <c r="XI314" s="100"/>
      <c r="XJ314" s="100"/>
      <c r="XK314" s="100"/>
      <c r="XL314" s="100"/>
      <c r="XM314" s="100"/>
      <c r="XN314" s="100"/>
      <c r="XO314" s="100"/>
      <c r="XP314" s="100"/>
      <c r="XQ314" s="100"/>
      <c r="XR314" s="100"/>
      <c r="XS314" s="100"/>
      <c r="XT314" s="100"/>
      <c r="XU314" s="100"/>
      <c r="XV314" s="100"/>
      <c r="XW314" s="100"/>
      <c r="XX314" s="100"/>
      <c r="XY314" s="100"/>
      <c r="XZ314" s="100"/>
      <c r="YA314" s="100"/>
      <c r="YB314" s="100"/>
      <c r="YC314" s="100"/>
      <c r="YD314" s="100"/>
      <c r="YE314" s="100"/>
      <c r="YF314" s="100"/>
      <c r="YG314" s="100"/>
      <c r="YH314" s="100"/>
      <c r="YI314" s="100"/>
      <c r="YJ314" s="100"/>
      <c r="YK314" s="100"/>
      <c r="YL314" s="100"/>
      <c r="YM314" s="100"/>
      <c r="YN314" s="100"/>
      <c r="YO314" s="100"/>
      <c r="YP314" s="100"/>
      <c r="YQ314" s="100"/>
      <c r="YR314" s="100"/>
      <c r="YS314" s="100"/>
      <c r="YT314" s="100"/>
      <c r="YU314" s="100"/>
      <c r="YV314" s="100"/>
      <c r="YW314" s="100"/>
      <c r="YX314" s="100"/>
      <c r="YY314" s="100"/>
      <c r="YZ314" s="100"/>
      <c r="ZA314" s="100"/>
      <c r="ZB314" s="100"/>
      <c r="ZC314" s="100"/>
      <c r="ZD314" s="100"/>
      <c r="ZE314" s="100"/>
      <c r="ZF314" s="100"/>
      <c r="ZG314" s="100"/>
      <c r="ZH314" s="100"/>
      <c r="ZI314" s="100"/>
      <c r="ZJ314" s="100"/>
      <c r="ZK314" s="100"/>
      <c r="ZL314" s="100"/>
      <c r="ZM314" s="100"/>
      <c r="ZN314" s="100"/>
      <c r="ZO314" s="100"/>
      <c r="ZP314" s="100"/>
      <c r="ZQ314" s="100"/>
      <c r="ZR314" s="100"/>
      <c r="ZS314" s="100"/>
      <c r="ZT314" s="100"/>
      <c r="ZU314" s="100"/>
      <c r="ZV314" s="100"/>
      <c r="ZW314" s="100"/>
      <c r="ZX314" s="100"/>
      <c r="ZY314" s="100"/>
      <c r="ZZ314" s="100"/>
      <c r="AAA314" s="100"/>
      <c r="AAB314" s="100"/>
      <c r="AAC314" s="100"/>
      <c r="AAD314" s="100"/>
      <c r="AAE314" s="100"/>
      <c r="AAF314" s="100"/>
      <c r="AAG314" s="100"/>
      <c r="AAH314" s="100"/>
      <c r="AAI314" s="100"/>
      <c r="AAJ314" s="100"/>
      <c r="AAK314" s="100"/>
      <c r="AAL314" s="100"/>
      <c r="AAM314" s="100"/>
      <c r="AAN314" s="100"/>
      <c r="AAO314" s="100"/>
      <c r="AAP314" s="100"/>
      <c r="AAQ314" s="100"/>
      <c r="AAR314" s="100"/>
      <c r="AAS314" s="100"/>
      <c r="AAT314" s="100"/>
      <c r="AAU314" s="100"/>
      <c r="AAV314" s="100"/>
      <c r="AAW314" s="100"/>
      <c r="AAX314" s="100"/>
      <c r="AAY314" s="100"/>
      <c r="AAZ314" s="100"/>
      <c r="ABA314" s="100"/>
      <c r="ABB314" s="100"/>
      <c r="ABC314" s="100"/>
      <c r="ABD314" s="100"/>
      <c r="ABE314" s="100"/>
      <c r="ABF314" s="100"/>
      <c r="ABG314" s="100"/>
      <c r="ABH314" s="100"/>
      <c r="ABI314" s="100"/>
      <c r="ABJ314" s="100"/>
      <c r="ABK314" s="100"/>
      <c r="ABL314" s="100"/>
      <c r="ABM314" s="100"/>
      <c r="ABN314" s="100"/>
      <c r="ABO314" s="100"/>
      <c r="ABP314" s="100"/>
      <c r="ABQ314" s="100"/>
      <c r="ABR314" s="100"/>
      <c r="ABS314" s="100"/>
      <c r="ABT314" s="100"/>
      <c r="ABU314" s="100"/>
      <c r="ABV314" s="100"/>
      <c r="ABW314" s="100"/>
      <c r="ABX314" s="100"/>
      <c r="ABY314" s="100"/>
      <c r="ABZ314" s="100"/>
      <c r="ACA314" s="100"/>
      <c r="ACB314" s="100"/>
      <c r="ACC314" s="100"/>
      <c r="ACD314" s="100"/>
      <c r="ACE314" s="100"/>
      <c r="ACF314" s="100"/>
      <c r="ACG314" s="100"/>
      <c r="ACH314" s="100"/>
      <c r="ACI314" s="100"/>
      <c r="ACJ314" s="100"/>
      <c r="ACK314" s="100"/>
      <c r="ACL314" s="100"/>
      <c r="ACM314" s="100"/>
      <c r="ACN314" s="100"/>
      <c r="ACO314" s="100"/>
      <c r="ACP314" s="100"/>
      <c r="ACQ314" s="100"/>
      <c r="ACR314" s="100"/>
      <c r="ACS314" s="100"/>
      <c r="ACT314" s="100"/>
      <c r="ACU314" s="100"/>
      <c r="ACV314" s="100"/>
      <c r="ACW314" s="100"/>
      <c r="ACX314" s="100"/>
      <c r="ACY314" s="100"/>
      <c r="ACZ314" s="100"/>
      <c r="ADA314" s="100"/>
      <c r="ADB314" s="100"/>
      <c r="ADC314" s="100"/>
      <c r="ADD314" s="100"/>
      <c r="ADE314" s="100"/>
      <c r="ADF314" s="100"/>
      <c r="ADG314" s="100"/>
      <c r="ADH314" s="100"/>
      <c r="ADI314" s="100"/>
      <c r="ADJ314" s="100"/>
      <c r="ADK314" s="100"/>
      <c r="ADL314" s="100"/>
      <c r="ADM314" s="100"/>
      <c r="ADN314" s="100"/>
      <c r="ADO314" s="100"/>
      <c r="ADP314" s="100"/>
      <c r="ADQ314" s="100"/>
      <c r="ADR314" s="100"/>
      <c r="ADS314" s="100"/>
      <c r="ADT314" s="100"/>
      <c r="ADU314" s="100"/>
      <c r="ADV314" s="100"/>
      <c r="ADW314" s="100"/>
      <c r="ADX314" s="100"/>
      <c r="ADY314" s="100"/>
      <c r="ADZ314" s="100"/>
      <c r="AEA314" s="100"/>
      <c r="AEB314" s="100"/>
      <c r="AEC314" s="100"/>
      <c r="AED314" s="100"/>
      <c r="AEE314" s="100"/>
      <c r="AEF314" s="100"/>
      <c r="AEG314" s="100"/>
      <c r="AEH314" s="100"/>
      <c r="AEI314" s="100"/>
      <c r="AEJ314" s="100"/>
      <c r="AEK314" s="100"/>
      <c r="AEL314" s="100"/>
      <c r="AEM314" s="100"/>
      <c r="AEN314" s="100"/>
      <c r="AEO314" s="100"/>
      <c r="AEP314" s="100"/>
      <c r="AEQ314" s="100"/>
      <c r="AER314" s="100"/>
      <c r="AES314" s="100"/>
      <c r="AET314" s="100"/>
      <c r="AEU314" s="100"/>
      <c r="AEV314" s="100"/>
      <c r="AEW314" s="100"/>
      <c r="AEX314" s="100"/>
      <c r="AEY314" s="100"/>
      <c r="AEZ314" s="100"/>
      <c r="AFA314" s="100"/>
      <c r="AFB314" s="100"/>
      <c r="AFC314" s="100"/>
      <c r="AFD314" s="100"/>
      <c r="AFE314" s="100"/>
      <c r="AFF314" s="100"/>
      <c r="AFG314" s="100"/>
      <c r="AFH314" s="100"/>
      <c r="AFI314" s="100"/>
      <c r="AFJ314" s="100"/>
      <c r="AFK314" s="100"/>
      <c r="AFL314" s="100"/>
      <c r="AFM314" s="100"/>
      <c r="AFN314" s="100"/>
      <c r="AFO314" s="100"/>
      <c r="AFP314" s="100"/>
      <c r="AFQ314" s="100"/>
      <c r="AFR314" s="100"/>
      <c r="AFS314" s="100"/>
      <c r="AFT314" s="100"/>
      <c r="AFU314" s="100"/>
      <c r="AFV314" s="100"/>
      <c r="AFW314" s="100"/>
      <c r="AFX314" s="100"/>
      <c r="AFY314" s="100"/>
      <c r="AFZ314" s="100"/>
      <c r="AGA314" s="100"/>
      <c r="AGB314" s="100"/>
      <c r="AGC314" s="100"/>
      <c r="AGD314" s="100"/>
      <c r="AGE314" s="100"/>
      <c r="AGF314" s="100"/>
      <c r="AGG314" s="100"/>
      <c r="AGH314" s="100"/>
      <c r="AGI314" s="100"/>
      <c r="AGJ314" s="100"/>
      <c r="AGK314" s="100"/>
      <c r="AGL314" s="100"/>
      <c r="AGM314" s="100"/>
      <c r="AGN314" s="100"/>
      <c r="AGO314" s="100"/>
      <c r="AGP314" s="100"/>
      <c r="AGQ314" s="100"/>
      <c r="AGR314" s="100"/>
      <c r="AGS314" s="100"/>
      <c r="AGT314" s="100"/>
      <c r="AGU314" s="100"/>
      <c r="AGV314" s="100"/>
      <c r="AGW314" s="100"/>
      <c r="AGX314" s="100"/>
      <c r="AGY314" s="100"/>
      <c r="AGZ314" s="100"/>
      <c r="AHA314" s="100"/>
      <c r="AHB314" s="100"/>
      <c r="AHC314" s="100"/>
      <c r="AHD314" s="100"/>
      <c r="AHE314" s="100"/>
      <c r="AHF314" s="100"/>
      <c r="AHG314" s="100"/>
      <c r="AHH314" s="100"/>
      <c r="AHI314" s="100"/>
      <c r="AHJ314" s="100"/>
      <c r="AHK314" s="100"/>
      <c r="AHL314" s="100"/>
      <c r="AHM314" s="100"/>
      <c r="AHN314" s="100"/>
      <c r="AHO314" s="100"/>
      <c r="AHP314" s="100"/>
      <c r="AHQ314" s="100"/>
      <c r="AHR314" s="100"/>
      <c r="AHS314" s="100"/>
      <c r="AHT314" s="100"/>
      <c r="AHU314" s="100"/>
      <c r="AHV314" s="100"/>
      <c r="AHW314" s="100"/>
      <c r="AHX314" s="100"/>
      <c r="AHY314" s="100"/>
      <c r="AHZ314" s="100"/>
      <c r="AIA314" s="100"/>
      <c r="AIB314" s="100"/>
      <c r="AIC314" s="100"/>
      <c r="AID314" s="100"/>
      <c r="AIE314" s="100"/>
      <c r="AIF314" s="100"/>
      <c r="AIG314" s="100"/>
      <c r="AIH314" s="100"/>
      <c r="AII314" s="100"/>
      <c r="AIJ314" s="100"/>
      <c r="AIK314" s="100"/>
      <c r="AIL314" s="100"/>
      <c r="AIM314" s="100"/>
      <c r="AIN314" s="100"/>
      <c r="AIO314" s="100"/>
      <c r="AIP314" s="100"/>
      <c r="AIQ314" s="100"/>
      <c r="AIR314" s="100"/>
      <c r="AIS314" s="100"/>
      <c r="AIT314" s="100"/>
      <c r="AIU314" s="100"/>
      <c r="AIV314" s="100"/>
      <c r="AIW314" s="100"/>
      <c r="AIX314" s="100"/>
      <c r="AIY314" s="100"/>
      <c r="AIZ314" s="100"/>
      <c r="AJA314" s="100"/>
      <c r="AJB314" s="100"/>
      <c r="AJC314" s="100"/>
      <c r="AJD314" s="100"/>
      <c r="AJE314" s="100"/>
      <c r="AJF314" s="100"/>
      <c r="AJG314" s="100"/>
      <c r="AJH314" s="100"/>
      <c r="AJI314" s="100"/>
      <c r="AJJ314" s="100"/>
      <c r="AJK314" s="100"/>
      <c r="AJL314" s="100"/>
      <c r="AJM314" s="100"/>
      <c r="AJN314" s="100"/>
      <c r="AJO314" s="100"/>
      <c r="AJP314" s="100"/>
      <c r="AJQ314" s="100"/>
      <c r="AJR314" s="100"/>
      <c r="AJS314" s="100"/>
      <c r="AJT314" s="100"/>
      <c r="AJU314" s="100"/>
      <c r="AJV314" s="100"/>
      <c r="AJW314" s="100"/>
      <c r="AJX314" s="100"/>
      <c r="AJY314" s="100"/>
      <c r="AJZ314" s="100"/>
      <c r="AKA314" s="100"/>
      <c r="AKB314" s="100"/>
      <c r="AKC314" s="100"/>
      <c r="AKD314" s="100"/>
      <c r="AKE314" s="100"/>
      <c r="AKF314" s="100"/>
      <c r="AKG314" s="100"/>
      <c r="AKH314" s="100"/>
      <c r="AKI314" s="100"/>
      <c r="AKJ314" s="100"/>
      <c r="AKK314" s="100"/>
      <c r="AKL314" s="100"/>
      <c r="AKM314" s="100"/>
      <c r="AKN314" s="100"/>
      <c r="AKO314" s="100"/>
      <c r="AKP314" s="100"/>
      <c r="AKQ314" s="100"/>
      <c r="AKR314" s="100"/>
      <c r="AKS314" s="100"/>
      <c r="AKT314" s="100"/>
      <c r="AKU314" s="100"/>
      <c r="AKV314" s="100"/>
      <c r="AKW314" s="100"/>
      <c r="AKX314" s="100"/>
      <c r="AKY314" s="100"/>
      <c r="AKZ314" s="100"/>
      <c r="ALA314" s="100"/>
      <c r="ALB314" s="100"/>
      <c r="ALC314" s="100"/>
      <c r="ALD314" s="100"/>
      <c r="ALE314" s="100"/>
      <c r="ALF314" s="100"/>
      <c r="ALG314" s="100"/>
      <c r="ALH314" s="100"/>
      <c r="ALI314" s="100"/>
      <c r="ALJ314" s="100"/>
      <c r="ALK314" s="100"/>
      <c r="ALL314" s="100"/>
      <c r="ALM314" s="100"/>
      <c r="ALN314" s="100"/>
      <c r="ALO314" s="100"/>
      <c r="ALP314" s="100"/>
      <c r="ALQ314" s="100"/>
      <c r="ALR314" s="100"/>
      <c r="ALS314" s="100"/>
      <c r="ALT314" s="100"/>
      <c r="ALU314" s="100"/>
      <c r="ALV314" s="100"/>
      <c r="ALW314" s="100"/>
      <c r="ALX314" s="100"/>
      <c r="ALY314" s="100"/>
      <c r="ALZ314" s="100"/>
      <c r="AMA314" s="100"/>
      <c r="AMB314" s="100"/>
      <c r="AMC314" s="100"/>
      <c r="AMD314" s="100"/>
    </row>
    <row r="315" spans="1:1018" s="127" customFormat="1" ht="11.25" customHeight="1" x14ac:dyDescent="0.15">
      <c r="A315" s="111"/>
      <c r="B315" s="126">
        <v>11</v>
      </c>
      <c r="C315" s="114">
        <v>308</v>
      </c>
      <c r="D315" s="115" t="s">
        <v>451</v>
      </c>
      <c r="E315" s="171">
        <v>1705</v>
      </c>
      <c r="F315" s="113">
        <f>ROUND(E315*Valores!$C$2,2)</f>
        <v>166759.23000000001</v>
      </c>
      <c r="G315" s="169">
        <v>0</v>
      </c>
      <c r="H315" s="113">
        <f>ROUND(G315*Valores!$C$2,2)</f>
        <v>0</v>
      </c>
      <c r="I315" s="169">
        <v>0</v>
      </c>
      <c r="J315" s="113">
        <f>ROUND(I315*Valores!$C$2,2)</f>
        <v>0</v>
      </c>
      <c r="K315" s="169">
        <v>0</v>
      </c>
      <c r="L315" s="113">
        <f>ROUND(K315*Valores!$C$2,2)</f>
        <v>0</v>
      </c>
      <c r="M315" s="113">
        <f>ROUND(IF($H$2=0,IF(AND(A315&lt;&gt;"13-930",A315&lt;&gt;"13-940"),(SUM(F315,H315,J315,L315,W315,S315,Q315)*Valores!$C$4),0),0),2)</f>
        <v>46494.17</v>
      </c>
      <c r="N315" s="113">
        <f t="shared" si="54"/>
        <v>0</v>
      </c>
      <c r="O315" s="113">
        <v>0</v>
      </c>
      <c r="P315" s="113">
        <v>0</v>
      </c>
      <c r="Q315" s="113">
        <f>IF($F$4="NO",IF(Valores!$C$28*B315&gt;Valores!$C$25,Valores!$C$25,Valores!$C$28*B315),IF(Valores!$C$28*B315&gt;Valores!$C$25,Valores!$C$25,Valores!$C$28*B315)/2)</f>
        <v>19217.439999999999</v>
      </c>
      <c r="R315" s="113">
        <v>0</v>
      </c>
      <c r="S315" s="113">
        <f t="shared" si="55"/>
        <v>0</v>
      </c>
      <c r="T315" s="113">
        <v>0</v>
      </c>
      <c r="U315" s="113">
        <v>0</v>
      </c>
      <c r="V315" s="169">
        <v>0</v>
      </c>
      <c r="W315" s="113">
        <f>ROUND(V315*Valores!$C$2,2)</f>
        <v>0</v>
      </c>
      <c r="X315" s="113">
        <v>0</v>
      </c>
      <c r="Y315" s="188">
        <v>0</v>
      </c>
      <c r="Z315" s="113">
        <v>0</v>
      </c>
      <c r="AA315" s="169">
        <v>0</v>
      </c>
      <c r="AB315" s="113">
        <f>ROUND(AA315*Valores!$C$2,2)</f>
        <v>0</v>
      </c>
      <c r="AC315" s="113"/>
      <c r="AD315" s="113">
        <f>SUM(F315,H315,J315,L315,M315,N315,O315,P315,Q315,S315,T315,U315,W315,X315,Z315,AB315,AC315)*Valores!$C$58</f>
        <v>23247.084000000003</v>
      </c>
      <c r="AE315" s="113">
        <f t="shared" si="49"/>
        <v>255717.92400000003</v>
      </c>
      <c r="AF315" s="113">
        <v>0</v>
      </c>
      <c r="AG315" s="113">
        <f>AE315*Valores!$C$60*Valores!$C$61</f>
        <v>0</v>
      </c>
      <c r="AH315" s="113">
        <f t="shared" si="45"/>
        <v>0</v>
      </c>
      <c r="AI315" s="113">
        <f>AE315*Valores!$C$39</f>
        <v>-28128.971640000003</v>
      </c>
      <c r="AJ315" s="113">
        <f>IF(AE315&lt;Valores!$E$40,-0.02,IF(AE315&lt;Valores!$F$40,-0.03,-0.04))*AE315</f>
        <v>-5114.3584800000008</v>
      </c>
      <c r="AK315" s="113">
        <f>AE315*Valores!$C$42</f>
        <v>-14064.485820000002</v>
      </c>
      <c r="AL315" s="113">
        <v>0</v>
      </c>
      <c r="AM315" s="113">
        <v>0</v>
      </c>
      <c r="AN315" s="113">
        <f t="shared" si="50"/>
        <v>208410.10806000003</v>
      </c>
      <c r="AO315" s="113">
        <f t="shared" si="44"/>
        <v>-28128.971640000003</v>
      </c>
      <c r="AP315" s="113">
        <f t="shared" si="51"/>
        <v>-5114.3584800000008</v>
      </c>
      <c r="AQ315" s="113">
        <f>AE315*Valores!$C$43</f>
        <v>-6904.3839480000006</v>
      </c>
      <c r="AR315" s="113">
        <f>AE315*Valores!$C$44</f>
        <v>-767.15377200000012</v>
      </c>
      <c r="AS315" s="113">
        <f t="shared" si="46"/>
        <v>214803.05616000004</v>
      </c>
      <c r="AT315" s="113">
        <f>AE315*Valores!$C$46</f>
        <v>40914.867840000006</v>
      </c>
      <c r="AU315" s="113">
        <f>AE315*Valores!$C$47</f>
        <v>17900.254680000005</v>
      </c>
      <c r="AV315" s="113">
        <f>AE315*Valores!$C$48</f>
        <v>2557.1792400000004</v>
      </c>
      <c r="AW315" s="113">
        <f>AE315*Valores!$C$50</f>
        <v>8950.1273400000027</v>
      </c>
      <c r="AX315" s="113">
        <f>AE315*Valores!$C$52</f>
        <v>13808.767896000001</v>
      </c>
      <c r="AY315" s="113">
        <f>AE315*Valores!$C$51</f>
        <v>1534.3075440000002</v>
      </c>
      <c r="AZ315" s="114"/>
      <c r="BA315" s="114"/>
      <c r="BB315" s="111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  <c r="GD315" s="100"/>
      <c r="GE315" s="100"/>
      <c r="GF315" s="100"/>
      <c r="GG315" s="100"/>
      <c r="GH315" s="100"/>
      <c r="GI315" s="100"/>
      <c r="GJ315" s="100"/>
      <c r="GK315" s="100"/>
      <c r="GL315" s="100"/>
      <c r="GM315" s="100"/>
      <c r="GN315" s="100"/>
      <c r="GO315" s="100"/>
      <c r="GP315" s="100"/>
      <c r="GQ315" s="100"/>
      <c r="GR315" s="100"/>
      <c r="GS315" s="100"/>
      <c r="GT315" s="100"/>
      <c r="GU315" s="100"/>
      <c r="GV315" s="100"/>
      <c r="GW315" s="100"/>
      <c r="GX315" s="100"/>
      <c r="GY315" s="100"/>
      <c r="GZ315" s="100"/>
      <c r="HA315" s="100"/>
      <c r="HB315" s="100"/>
      <c r="HC315" s="100"/>
      <c r="HD315" s="100"/>
      <c r="HE315" s="100"/>
      <c r="HF315" s="100"/>
      <c r="HG315" s="100"/>
      <c r="HH315" s="100"/>
      <c r="HI315" s="100"/>
      <c r="HJ315" s="100"/>
      <c r="HK315" s="100"/>
      <c r="HL315" s="100"/>
      <c r="HM315" s="100"/>
      <c r="HN315" s="100"/>
      <c r="HO315" s="100"/>
      <c r="HP315" s="100"/>
      <c r="HQ315" s="100"/>
      <c r="HR315" s="100"/>
      <c r="HS315" s="100"/>
      <c r="HT315" s="100"/>
      <c r="HU315" s="100"/>
      <c r="HV315" s="100"/>
      <c r="HW315" s="100"/>
      <c r="HX315" s="100"/>
      <c r="HY315" s="100"/>
      <c r="HZ315" s="100"/>
      <c r="IA315" s="100"/>
      <c r="IB315" s="100"/>
      <c r="IC315" s="100"/>
      <c r="ID315" s="100"/>
      <c r="IE315" s="100"/>
      <c r="IF315" s="100"/>
      <c r="IG315" s="100"/>
      <c r="IH315" s="100"/>
      <c r="II315" s="100"/>
      <c r="IJ315" s="100"/>
      <c r="IK315" s="100"/>
      <c r="IL315" s="100"/>
      <c r="IM315" s="100"/>
      <c r="IN315" s="100"/>
      <c r="IO315" s="100"/>
      <c r="IP315" s="100"/>
      <c r="IQ315" s="100"/>
      <c r="IR315" s="100"/>
      <c r="IS315" s="100"/>
      <c r="IT315" s="100"/>
      <c r="IU315" s="100"/>
      <c r="IV315" s="100"/>
      <c r="IW315" s="100"/>
      <c r="IX315" s="100"/>
      <c r="IY315" s="100"/>
      <c r="IZ315" s="100"/>
      <c r="JA315" s="100"/>
      <c r="JB315" s="100"/>
      <c r="JC315" s="100"/>
      <c r="JD315" s="100"/>
      <c r="JE315" s="100"/>
      <c r="JF315" s="100"/>
      <c r="JG315" s="100"/>
      <c r="JH315" s="100"/>
      <c r="JI315" s="100"/>
      <c r="JJ315" s="100"/>
      <c r="JK315" s="100"/>
      <c r="JL315" s="100"/>
      <c r="JM315" s="100"/>
      <c r="JN315" s="100"/>
      <c r="JO315" s="100"/>
      <c r="JP315" s="100"/>
      <c r="JQ315" s="100"/>
      <c r="JR315" s="100"/>
      <c r="JS315" s="100"/>
      <c r="JT315" s="100"/>
      <c r="JU315" s="100"/>
      <c r="JV315" s="100"/>
      <c r="JW315" s="100"/>
      <c r="JX315" s="100"/>
      <c r="JY315" s="100"/>
      <c r="JZ315" s="100"/>
      <c r="KA315" s="100"/>
      <c r="KB315" s="100"/>
      <c r="KC315" s="100"/>
      <c r="KD315" s="100"/>
      <c r="KE315" s="100"/>
      <c r="KF315" s="100"/>
      <c r="KG315" s="100"/>
      <c r="KH315" s="100"/>
      <c r="KI315" s="100"/>
      <c r="KJ315" s="100"/>
      <c r="KK315" s="100"/>
      <c r="KL315" s="100"/>
      <c r="KM315" s="100"/>
      <c r="KN315" s="100"/>
      <c r="KO315" s="100"/>
      <c r="KP315" s="100"/>
      <c r="KQ315" s="100"/>
      <c r="KR315" s="100"/>
      <c r="KS315" s="100"/>
      <c r="KT315" s="100"/>
      <c r="KU315" s="100"/>
      <c r="KV315" s="100"/>
      <c r="KW315" s="100"/>
      <c r="KX315" s="100"/>
      <c r="KY315" s="100"/>
      <c r="KZ315" s="100"/>
      <c r="LA315" s="100"/>
      <c r="LB315" s="100"/>
      <c r="LC315" s="100"/>
      <c r="LD315" s="100"/>
      <c r="LE315" s="100"/>
      <c r="LF315" s="100"/>
      <c r="LG315" s="100"/>
      <c r="LH315" s="100"/>
      <c r="LI315" s="100"/>
      <c r="LJ315" s="100"/>
      <c r="LK315" s="100"/>
      <c r="LL315" s="100"/>
      <c r="LM315" s="100"/>
      <c r="LN315" s="100"/>
      <c r="LO315" s="100"/>
      <c r="LP315" s="100"/>
      <c r="LQ315" s="100"/>
      <c r="LR315" s="100"/>
      <c r="LS315" s="100"/>
      <c r="LT315" s="100"/>
      <c r="LU315" s="100"/>
      <c r="LV315" s="100"/>
      <c r="LW315" s="100"/>
      <c r="LX315" s="100"/>
      <c r="LY315" s="100"/>
      <c r="LZ315" s="100"/>
      <c r="MA315" s="100"/>
      <c r="MB315" s="100"/>
      <c r="MC315" s="100"/>
      <c r="MD315" s="100"/>
      <c r="ME315" s="100"/>
      <c r="MF315" s="100"/>
      <c r="MG315" s="100"/>
      <c r="MH315" s="100"/>
      <c r="MI315" s="100"/>
      <c r="MJ315" s="100"/>
      <c r="MK315" s="100"/>
      <c r="ML315" s="100"/>
      <c r="MM315" s="100"/>
      <c r="MN315" s="100"/>
      <c r="MO315" s="100"/>
      <c r="MP315" s="100"/>
      <c r="MQ315" s="100"/>
      <c r="MR315" s="100"/>
      <c r="MS315" s="100"/>
      <c r="MT315" s="100"/>
      <c r="MU315" s="100"/>
      <c r="MV315" s="100"/>
      <c r="MW315" s="100"/>
      <c r="MX315" s="100"/>
      <c r="MY315" s="100"/>
      <c r="MZ315" s="100"/>
      <c r="NA315" s="100"/>
      <c r="NB315" s="100"/>
      <c r="NC315" s="100"/>
      <c r="ND315" s="100"/>
      <c r="NE315" s="100"/>
      <c r="NF315" s="100"/>
      <c r="NG315" s="100"/>
      <c r="NH315" s="100"/>
      <c r="NI315" s="100"/>
      <c r="NJ315" s="100"/>
      <c r="NK315" s="100"/>
      <c r="NL315" s="100"/>
      <c r="NM315" s="100"/>
      <c r="NN315" s="100"/>
      <c r="NO315" s="100"/>
      <c r="NP315" s="100"/>
      <c r="NQ315" s="100"/>
      <c r="NR315" s="100"/>
      <c r="NS315" s="100"/>
      <c r="NT315" s="100"/>
      <c r="NU315" s="100"/>
      <c r="NV315" s="100"/>
      <c r="NW315" s="100"/>
      <c r="NX315" s="100"/>
      <c r="NY315" s="100"/>
      <c r="NZ315" s="100"/>
      <c r="OA315" s="100"/>
      <c r="OB315" s="100"/>
      <c r="OC315" s="100"/>
      <c r="OD315" s="100"/>
      <c r="OE315" s="100"/>
      <c r="OF315" s="100"/>
      <c r="OG315" s="100"/>
      <c r="OH315" s="100"/>
      <c r="OI315" s="100"/>
      <c r="OJ315" s="100"/>
      <c r="OK315" s="100"/>
      <c r="OL315" s="100"/>
      <c r="OM315" s="100"/>
      <c r="ON315" s="100"/>
      <c r="OO315" s="100"/>
      <c r="OP315" s="100"/>
      <c r="OQ315" s="100"/>
      <c r="OR315" s="100"/>
      <c r="OS315" s="100"/>
      <c r="OT315" s="100"/>
      <c r="OU315" s="100"/>
      <c r="OV315" s="100"/>
      <c r="OW315" s="100"/>
      <c r="OX315" s="100"/>
      <c r="OY315" s="100"/>
      <c r="OZ315" s="100"/>
      <c r="PA315" s="100"/>
      <c r="PB315" s="100"/>
      <c r="PC315" s="100"/>
      <c r="PD315" s="100"/>
      <c r="PE315" s="100"/>
      <c r="PF315" s="100"/>
      <c r="PG315" s="100"/>
      <c r="PH315" s="100"/>
      <c r="PI315" s="100"/>
      <c r="PJ315" s="100"/>
      <c r="PK315" s="100"/>
      <c r="PL315" s="100"/>
      <c r="PM315" s="100"/>
      <c r="PN315" s="100"/>
      <c r="PO315" s="100"/>
      <c r="PP315" s="100"/>
      <c r="PQ315" s="100"/>
      <c r="PR315" s="100"/>
      <c r="PS315" s="100"/>
      <c r="PT315" s="100"/>
      <c r="PU315" s="100"/>
      <c r="PV315" s="100"/>
      <c r="PW315" s="100"/>
      <c r="PX315" s="100"/>
      <c r="PY315" s="100"/>
      <c r="PZ315" s="100"/>
      <c r="QA315" s="100"/>
      <c r="QB315" s="100"/>
      <c r="QC315" s="100"/>
      <c r="QD315" s="100"/>
      <c r="QE315" s="100"/>
      <c r="QF315" s="100"/>
      <c r="QG315" s="100"/>
      <c r="QH315" s="100"/>
      <c r="QI315" s="100"/>
      <c r="QJ315" s="100"/>
      <c r="QK315" s="100"/>
      <c r="QL315" s="100"/>
      <c r="QM315" s="100"/>
      <c r="QN315" s="100"/>
      <c r="QO315" s="100"/>
      <c r="QP315" s="100"/>
      <c r="QQ315" s="100"/>
      <c r="QR315" s="100"/>
      <c r="QS315" s="100"/>
      <c r="QT315" s="100"/>
      <c r="QU315" s="100"/>
      <c r="QV315" s="100"/>
      <c r="QW315" s="100"/>
      <c r="QX315" s="100"/>
      <c r="QY315" s="100"/>
      <c r="QZ315" s="100"/>
      <c r="RA315" s="100"/>
      <c r="RB315" s="100"/>
      <c r="RC315" s="100"/>
      <c r="RD315" s="100"/>
      <c r="RE315" s="100"/>
      <c r="RF315" s="100"/>
      <c r="RG315" s="100"/>
      <c r="RH315" s="100"/>
      <c r="RI315" s="100"/>
      <c r="RJ315" s="100"/>
      <c r="RK315" s="100"/>
      <c r="RL315" s="100"/>
      <c r="RM315" s="100"/>
      <c r="RN315" s="100"/>
      <c r="RO315" s="100"/>
      <c r="RP315" s="100"/>
      <c r="RQ315" s="100"/>
      <c r="RR315" s="100"/>
      <c r="RS315" s="100"/>
      <c r="RT315" s="100"/>
      <c r="RU315" s="100"/>
      <c r="RV315" s="100"/>
      <c r="RW315" s="100"/>
      <c r="RX315" s="100"/>
      <c r="RY315" s="100"/>
      <c r="RZ315" s="100"/>
      <c r="SA315" s="100"/>
      <c r="SB315" s="100"/>
      <c r="SC315" s="100"/>
      <c r="SD315" s="100"/>
      <c r="SE315" s="100"/>
      <c r="SF315" s="100"/>
      <c r="SG315" s="100"/>
      <c r="SH315" s="100"/>
      <c r="SI315" s="100"/>
      <c r="SJ315" s="100"/>
      <c r="SK315" s="100"/>
      <c r="SL315" s="100"/>
      <c r="SM315" s="100"/>
      <c r="SN315" s="100"/>
      <c r="SO315" s="100"/>
      <c r="SP315" s="100"/>
      <c r="SQ315" s="100"/>
      <c r="SR315" s="100"/>
      <c r="SS315" s="100"/>
      <c r="ST315" s="100"/>
      <c r="SU315" s="100"/>
      <c r="SV315" s="100"/>
      <c r="SW315" s="100"/>
      <c r="SX315" s="100"/>
      <c r="SY315" s="100"/>
      <c r="SZ315" s="100"/>
      <c r="TA315" s="100"/>
      <c r="TB315" s="100"/>
      <c r="TC315" s="100"/>
      <c r="TD315" s="100"/>
      <c r="TE315" s="100"/>
      <c r="TF315" s="100"/>
      <c r="TG315" s="100"/>
      <c r="TH315" s="100"/>
      <c r="TI315" s="100"/>
      <c r="TJ315" s="100"/>
      <c r="TK315" s="100"/>
      <c r="TL315" s="100"/>
      <c r="TM315" s="100"/>
      <c r="TN315" s="100"/>
      <c r="TO315" s="100"/>
      <c r="TP315" s="100"/>
      <c r="TQ315" s="100"/>
      <c r="TR315" s="100"/>
      <c r="TS315" s="100"/>
      <c r="TT315" s="100"/>
      <c r="TU315" s="100"/>
      <c r="TV315" s="100"/>
      <c r="TW315" s="100"/>
      <c r="TX315" s="100"/>
      <c r="TY315" s="100"/>
      <c r="TZ315" s="100"/>
      <c r="UA315" s="100"/>
      <c r="UB315" s="100"/>
      <c r="UC315" s="100"/>
      <c r="UD315" s="100"/>
      <c r="UE315" s="100"/>
      <c r="UF315" s="100"/>
      <c r="UG315" s="100"/>
      <c r="UH315" s="100"/>
      <c r="UI315" s="100"/>
      <c r="UJ315" s="100"/>
      <c r="UK315" s="100"/>
      <c r="UL315" s="100"/>
      <c r="UM315" s="100"/>
      <c r="UN315" s="100"/>
      <c r="UO315" s="100"/>
      <c r="UP315" s="100"/>
      <c r="UQ315" s="100"/>
      <c r="UR315" s="100"/>
      <c r="US315" s="100"/>
      <c r="UT315" s="100"/>
      <c r="UU315" s="100"/>
      <c r="UV315" s="100"/>
      <c r="UW315" s="100"/>
      <c r="UX315" s="100"/>
      <c r="UY315" s="100"/>
      <c r="UZ315" s="100"/>
      <c r="VA315" s="100"/>
      <c r="VB315" s="100"/>
      <c r="VC315" s="100"/>
      <c r="VD315" s="100"/>
      <c r="VE315" s="100"/>
      <c r="VF315" s="100"/>
      <c r="VG315" s="100"/>
      <c r="VH315" s="100"/>
      <c r="VI315" s="100"/>
      <c r="VJ315" s="100"/>
      <c r="VK315" s="100"/>
      <c r="VL315" s="100"/>
      <c r="VM315" s="100"/>
      <c r="VN315" s="100"/>
      <c r="VO315" s="100"/>
      <c r="VP315" s="100"/>
      <c r="VQ315" s="100"/>
      <c r="VR315" s="100"/>
      <c r="VS315" s="100"/>
      <c r="VT315" s="100"/>
      <c r="VU315" s="100"/>
      <c r="VV315" s="100"/>
      <c r="VW315" s="100"/>
      <c r="VX315" s="100"/>
      <c r="VY315" s="100"/>
      <c r="VZ315" s="100"/>
      <c r="WA315" s="100"/>
      <c r="WB315" s="100"/>
      <c r="WC315" s="100"/>
      <c r="WD315" s="100"/>
      <c r="WE315" s="100"/>
      <c r="WF315" s="100"/>
      <c r="WG315" s="100"/>
      <c r="WH315" s="100"/>
      <c r="WI315" s="100"/>
      <c r="WJ315" s="100"/>
      <c r="WK315" s="100"/>
      <c r="WL315" s="100"/>
      <c r="WM315" s="100"/>
      <c r="WN315" s="100"/>
      <c r="WO315" s="100"/>
      <c r="WP315" s="100"/>
      <c r="WQ315" s="100"/>
      <c r="WR315" s="100"/>
      <c r="WS315" s="100"/>
      <c r="WT315" s="100"/>
      <c r="WU315" s="100"/>
      <c r="WV315" s="100"/>
      <c r="WW315" s="100"/>
      <c r="WX315" s="100"/>
      <c r="WY315" s="100"/>
      <c r="WZ315" s="100"/>
      <c r="XA315" s="100"/>
      <c r="XB315" s="100"/>
      <c r="XC315" s="100"/>
      <c r="XD315" s="100"/>
      <c r="XE315" s="100"/>
      <c r="XF315" s="100"/>
      <c r="XG315" s="100"/>
      <c r="XH315" s="100"/>
      <c r="XI315" s="100"/>
      <c r="XJ315" s="100"/>
      <c r="XK315" s="100"/>
      <c r="XL315" s="100"/>
      <c r="XM315" s="100"/>
      <c r="XN315" s="100"/>
      <c r="XO315" s="100"/>
      <c r="XP315" s="100"/>
      <c r="XQ315" s="100"/>
      <c r="XR315" s="100"/>
      <c r="XS315" s="100"/>
      <c r="XT315" s="100"/>
      <c r="XU315" s="100"/>
      <c r="XV315" s="100"/>
      <c r="XW315" s="100"/>
      <c r="XX315" s="100"/>
      <c r="XY315" s="100"/>
      <c r="XZ315" s="100"/>
      <c r="YA315" s="100"/>
      <c r="YB315" s="100"/>
      <c r="YC315" s="100"/>
      <c r="YD315" s="100"/>
      <c r="YE315" s="100"/>
      <c r="YF315" s="100"/>
      <c r="YG315" s="100"/>
      <c r="YH315" s="100"/>
      <c r="YI315" s="100"/>
      <c r="YJ315" s="100"/>
      <c r="YK315" s="100"/>
      <c r="YL315" s="100"/>
      <c r="YM315" s="100"/>
      <c r="YN315" s="100"/>
      <c r="YO315" s="100"/>
      <c r="YP315" s="100"/>
      <c r="YQ315" s="100"/>
      <c r="YR315" s="100"/>
      <c r="YS315" s="100"/>
      <c r="YT315" s="100"/>
      <c r="YU315" s="100"/>
      <c r="YV315" s="100"/>
      <c r="YW315" s="100"/>
      <c r="YX315" s="100"/>
      <c r="YY315" s="100"/>
      <c r="YZ315" s="100"/>
      <c r="ZA315" s="100"/>
      <c r="ZB315" s="100"/>
      <c r="ZC315" s="100"/>
      <c r="ZD315" s="100"/>
      <c r="ZE315" s="100"/>
      <c r="ZF315" s="100"/>
      <c r="ZG315" s="100"/>
      <c r="ZH315" s="100"/>
      <c r="ZI315" s="100"/>
      <c r="ZJ315" s="100"/>
      <c r="ZK315" s="100"/>
      <c r="ZL315" s="100"/>
      <c r="ZM315" s="100"/>
      <c r="ZN315" s="100"/>
      <c r="ZO315" s="100"/>
      <c r="ZP315" s="100"/>
      <c r="ZQ315" s="100"/>
      <c r="ZR315" s="100"/>
      <c r="ZS315" s="100"/>
      <c r="ZT315" s="100"/>
      <c r="ZU315" s="100"/>
      <c r="ZV315" s="100"/>
      <c r="ZW315" s="100"/>
      <c r="ZX315" s="100"/>
      <c r="ZY315" s="100"/>
      <c r="ZZ315" s="100"/>
      <c r="AAA315" s="100"/>
      <c r="AAB315" s="100"/>
      <c r="AAC315" s="100"/>
      <c r="AAD315" s="100"/>
      <c r="AAE315" s="100"/>
      <c r="AAF315" s="100"/>
      <c r="AAG315" s="100"/>
      <c r="AAH315" s="100"/>
      <c r="AAI315" s="100"/>
      <c r="AAJ315" s="100"/>
      <c r="AAK315" s="100"/>
      <c r="AAL315" s="100"/>
      <c r="AAM315" s="100"/>
      <c r="AAN315" s="100"/>
      <c r="AAO315" s="100"/>
      <c r="AAP315" s="100"/>
      <c r="AAQ315" s="100"/>
      <c r="AAR315" s="100"/>
      <c r="AAS315" s="100"/>
      <c r="AAT315" s="100"/>
      <c r="AAU315" s="100"/>
      <c r="AAV315" s="100"/>
      <c r="AAW315" s="100"/>
      <c r="AAX315" s="100"/>
      <c r="AAY315" s="100"/>
      <c r="AAZ315" s="100"/>
      <c r="ABA315" s="100"/>
      <c r="ABB315" s="100"/>
      <c r="ABC315" s="100"/>
      <c r="ABD315" s="100"/>
      <c r="ABE315" s="100"/>
      <c r="ABF315" s="100"/>
      <c r="ABG315" s="100"/>
      <c r="ABH315" s="100"/>
      <c r="ABI315" s="100"/>
      <c r="ABJ315" s="100"/>
      <c r="ABK315" s="100"/>
      <c r="ABL315" s="100"/>
      <c r="ABM315" s="100"/>
      <c r="ABN315" s="100"/>
      <c r="ABO315" s="100"/>
      <c r="ABP315" s="100"/>
      <c r="ABQ315" s="100"/>
      <c r="ABR315" s="100"/>
      <c r="ABS315" s="100"/>
      <c r="ABT315" s="100"/>
      <c r="ABU315" s="100"/>
      <c r="ABV315" s="100"/>
      <c r="ABW315" s="100"/>
      <c r="ABX315" s="100"/>
      <c r="ABY315" s="100"/>
      <c r="ABZ315" s="100"/>
      <c r="ACA315" s="100"/>
      <c r="ACB315" s="100"/>
      <c r="ACC315" s="100"/>
      <c r="ACD315" s="100"/>
      <c r="ACE315" s="100"/>
      <c r="ACF315" s="100"/>
      <c r="ACG315" s="100"/>
      <c r="ACH315" s="100"/>
      <c r="ACI315" s="100"/>
      <c r="ACJ315" s="100"/>
      <c r="ACK315" s="100"/>
      <c r="ACL315" s="100"/>
      <c r="ACM315" s="100"/>
      <c r="ACN315" s="100"/>
      <c r="ACO315" s="100"/>
      <c r="ACP315" s="100"/>
      <c r="ACQ315" s="100"/>
      <c r="ACR315" s="100"/>
      <c r="ACS315" s="100"/>
      <c r="ACT315" s="100"/>
      <c r="ACU315" s="100"/>
      <c r="ACV315" s="100"/>
      <c r="ACW315" s="100"/>
      <c r="ACX315" s="100"/>
      <c r="ACY315" s="100"/>
      <c r="ACZ315" s="100"/>
      <c r="ADA315" s="100"/>
      <c r="ADB315" s="100"/>
      <c r="ADC315" s="100"/>
      <c r="ADD315" s="100"/>
      <c r="ADE315" s="100"/>
      <c r="ADF315" s="100"/>
      <c r="ADG315" s="100"/>
      <c r="ADH315" s="100"/>
      <c r="ADI315" s="100"/>
      <c r="ADJ315" s="100"/>
      <c r="ADK315" s="100"/>
      <c r="ADL315" s="100"/>
      <c r="ADM315" s="100"/>
      <c r="ADN315" s="100"/>
      <c r="ADO315" s="100"/>
      <c r="ADP315" s="100"/>
      <c r="ADQ315" s="100"/>
      <c r="ADR315" s="100"/>
      <c r="ADS315" s="100"/>
      <c r="ADT315" s="100"/>
      <c r="ADU315" s="100"/>
      <c r="ADV315" s="100"/>
      <c r="ADW315" s="100"/>
      <c r="ADX315" s="100"/>
      <c r="ADY315" s="100"/>
      <c r="ADZ315" s="100"/>
      <c r="AEA315" s="100"/>
      <c r="AEB315" s="100"/>
      <c r="AEC315" s="100"/>
      <c r="AED315" s="100"/>
      <c r="AEE315" s="100"/>
      <c r="AEF315" s="100"/>
      <c r="AEG315" s="100"/>
      <c r="AEH315" s="100"/>
      <c r="AEI315" s="100"/>
      <c r="AEJ315" s="100"/>
      <c r="AEK315" s="100"/>
      <c r="AEL315" s="100"/>
      <c r="AEM315" s="100"/>
      <c r="AEN315" s="100"/>
      <c r="AEO315" s="100"/>
      <c r="AEP315" s="100"/>
      <c r="AEQ315" s="100"/>
      <c r="AER315" s="100"/>
      <c r="AES315" s="100"/>
      <c r="AET315" s="100"/>
      <c r="AEU315" s="100"/>
      <c r="AEV315" s="100"/>
      <c r="AEW315" s="100"/>
      <c r="AEX315" s="100"/>
      <c r="AEY315" s="100"/>
      <c r="AEZ315" s="100"/>
      <c r="AFA315" s="100"/>
      <c r="AFB315" s="100"/>
      <c r="AFC315" s="100"/>
      <c r="AFD315" s="100"/>
      <c r="AFE315" s="100"/>
      <c r="AFF315" s="100"/>
      <c r="AFG315" s="100"/>
      <c r="AFH315" s="100"/>
      <c r="AFI315" s="100"/>
      <c r="AFJ315" s="100"/>
      <c r="AFK315" s="100"/>
      <c r="AFL315" s="100"/>
      <c r="AFM315" s="100"/>
      <c r="AFN315" s="100"/>
      <c r="AFO315" s="100"/>
      <c r="AFP315" s="100"/>
      <c r="AFQ315" s="100"/>
      <c r="AFR315" s="100"/>
      <c r="AFS315" s="100"/>
      <c r="AFT315" s="100"/>
      <c r="AFU315" s="100"/>
      <c r="AFV315" s="100"/>
      <c r="AFW315" s="100"/>
      <c r="AFX315" s="100"/>
      <c r="AFY315" s="100"/>
      <c r="AFZ315" s="100"/>
      <c r="AGA315" s="100"/>
      <c r="AGB315" s="100"/>
      <c r="AGC315" s="100"/>
      <c r="AGD315" s="100"/>
      <c r="AGE315" s="100"/>
      <c r="AGF315" s="100"/>
      <c r="AGG315" s="100"/>
      <c r="AGH315" s="100"/>
      <c r="AGI315" s="100"/>
      <c r="AGJ315" s="100"/>
      <c r="AGK315" s="100"/>
      <c r="AGL315" s="100"/>
      <c r="AGM315" s="100"/>
      <c r="AGN315" s="100"/>
      <c r="AGO315" s="100"/>
      <c r="AGP315" s="100"/>
      <c r="AGQ315" s="100"/>
      <c r="AGR315" s="100"/>
      <c r="AGS315" s="100"/>
      <c r="AGT315" s="100"/>
      <c r="AGU315" s="100"/>
      <c r="AGV315" s="100"/>
      <c r="AGW315" s="100"/>
      <c r="AGX315" s="100"/>
      <c r="AGY315" s="100"/>
      <c r="AGZ315" s="100"/>
      <c r="AHA315" s="100"/>
      <c r="AHB315" s="100"/>
      <c r="AHC315" s="100"/>
      <c r="AHD315" s="100"/>
      <c r="AHE315" s="100"/>
      <c r="AHF315" s="100"/>
      <c r="AHG315" s="100"/>
      <c r="AHH315" s="100"/>
      <c r="AHI315" s="100"/>
      <c r="AHJ315" s="100"/>
      <c r="AHK315" s="100"/>
      <c r="AHL315" s="100"/>
      <c r="AHM315" s="100"/>
      <c r="AHN315" s="100"/>
      <c r="AHO315" s="100"/>
      <c r="AHP315" s="100"/>
      <c r="AHQ315" s="100"/>
      <c r="AHR315" s="100"/>
      <c r="AHS315" s="100"/>
      <c r="AHT315" s="100"/>
      <c r="AHU315" s="100"/>
      <c r="AHV315" s="100"/>
      <c r="AHW315" s="100"/>
      <c r="AHX315" s="100"/>
      <c r="AHY315" s="100"/>
      <c r="AHZ315" s="100"/>
      <c r="AIA315" s="100"/>
      <c r="AIB315" s="100"/>
      <c r="AIC315" s="100"/>
      <c r="AID315" s="100"/>
      <c r="AIE315" s="100"/>
      <c r="AIF315" s="100"/>
      <c r="AIG315" s="100"/>
      <c r="AIH315" s="100"/>
      <c r="AII315" s="100"/>
      <c r="AIJ315" s="100"/>
      <c r="AIK315" s="100"/>
      <c r="AIL315" s="100"/>
      <c r="AIM315" s="100"/>
      <c r="AIN315" s="100"/>
      <c r="AIO315" s="100"/>
      <c r="AIP315" s="100"/>
      <c r="AIQ315" s="100"/>
      <c r="AIR315" s="100"/>
      <c r="AIS315" s="100"/>
      <c r="AIT315" s="100"/>
      <c r="AIU315" s="100"/>
      <c r="AIV315" s="100"/>
      <c r="AIW315" s="100"/>
      <c r="AIX315" s="100"/>
      <c r="AIY315" s="100"/>
      <c r="AIZ315" s="100"/>
      <c r="AJA315" s="100"/>
      <c r="AJB315" s="100"/>
      <c r="AJC315" s="100"/>
      <c r="AJD315" s="100"/>
      <c r="AJE315" s="100"/>
      <c r="AJF315" s="100"/>
      <c r="AJG315" s="100"/>
      <c r="AJH315" s="100"/>
      <c r="AJI315" s="100"/>
      <c r="AJJ315" s="100"/>
      <c r="AJK315" s="100"/>
      <c r="AJL315" s="100"/>
      <c r="AJM315" s="100"/>
      <c r="AJN315" s="100"/>
      <c r="AJO315" s="100"/>
      <c r="AJP315" s="100"/>
      <c r="AJQ315" s="100"/>
      <c r="AJR315" s="100"/>
      <c r="AJS315" s="100"/>
      <c r="AJT315" s="100"/>
      <c r="AJU315" s="100"/>
      <c r="AJV315" s="100"/>
      <c r="AJW315" s="100"/>
      <c r="AJX315" s="100"/>
      <c r="AJY315" s="100"/>
      <c r="AJZ315" s="100"/>
      <c r="AKA315" s="100"/>
      <c r="AKB315" s="100"/>
      <c r="AKC315" s="100"/>
      <c r="AKD315" s="100"/>
      <c r="AKE315" s="100"/>
      <c r="AKF315" s="100"/>
      <c r="AKG315" s="100"/>
      <c r="AKH315" s="100"/>
      <c r="AKI315" s="100"/>
      <c r="AKJ315" s="100"/>
      <c r="AKK315" s="100"/>
      <c r="AKL315" s="100"/>
      <c r="AKM315" s="100"/>
      <c r="AKN315" s="100"/>
      <c r="AKO315" s="100"/>
      <c r="AKP315" s="100"/>
      <c r="AKQ315" s="100"/>
      <c r="AKR315" s="100"/>
      <c r="AKS315" s="100"/>
      <c r="AKT315" s="100"/>
      <c r="AKU315" s="100"/>
      <c r="AKV315" s="100"/>
      <c r="AKW315" s="100"/>
      <c r="AKX315" s="100"/>
      <c r="AKY315" s="100"/>
      <c r="AKZ315" s="100"/>
      <c r="ALA315" s="100"/>
      <c r="ALB315" s="100"/>
      <c r="ALC315" s="100"/>
      <c r="ALD315" s="100"/>
      <c r="ALE315" s="100"/>
      <c r="ALF315" s="100"/>
      <c r="ALG315" s="100"/>
      <c r="ALH315" s="100"/>
      <c r="ALI315" s="100"/>
      <c r="ALJ315" s="100"/>
      <c r="ALK315" s="100"/>
      <c r="ALL315" s="100"/>
      <c r="ALM315" s="100"/>
      <c r="ALN315" s="100"/>
      <c r="ALO315" s="100"/>
      <c r="ALP315" s="100"/>
      <c r="ALQ315" s="100"/>
      <c r="ALR315" s="100"/>
      <c r="ALS315" s="100"/>
      <c r="ALT315" s="100"/>
      <c r="ALU315" s="100"/>
      <c r="ALV315" s="100"/>
      <c r="ALW315" s="100"/>
      <c r="ALX315" s="100"/>
      <c r="ALY315" s="100"/>
      <c r="ALZ315" s="100"/>
      <c r="AMA315" s="100"/>
      <c r="AMB315" s="100"/>
      <c r="AMC315" s="100"/>
      <c r="AMD315" s="100"/>
    </row>
    <row r="316" spans="1:1018" s="127" customFormat="1" ht="11.25" customHeight="1" x14ac:dyDescent="0.15">
      <c r="A316" s="111"/>
      <c r="B316" s="126">
        <v>12</v>
      </c>
      <c r="C316" s="114">
        <v>309</v>
      </c>
      <c r="D316" s="115" t="s">
        <v>452</v>
      </c>
      <c r="E316" s="171">
        <v>1860</v>
      </c>
      <c r="F316" s="113">
        <f>ROUND(E316*Valores!$C$2,2)</f>
        <v>181919.16</v>
      </c>
      <c r="G316" s="169">
        <v>0</v>
      </c>
      <c r="H316" s="113">
        <f>ROUND(G316*Valores!$C$2,2)</f>
        <v>0</v>
      </c>
      <c r="I316" s="169">
        <v>0</v>
      </c>
      <c r="J316" s="113">
        <f>ROUND(I316*Valores!$C$2,2)</f>
        <v>0</v>
      </c>
      <c r="K316" s="169">
        <v>0</v>
      </c>
      <c r="L316" s="113">
        <f>ROUND(K316*Valores!$C$2,2)</f>
        <v>0</v>
      </c>
      <c r="M316" s="113">
        <f>ROUND(IF($H$2=0,IF(AND(A316&lt;&gt;"13-930",A316&lt;&gt;"13-940"),(SUM(F316,H316,J316,L316,W316,S316,Q316)*Valores!$C$4),0),0),2)</f>
        <v>50720.91</v>
      </c>
      <c r="N316" s="113">
        <f t="shared" si="54"/>
        <v>0</v>
      </c>
      <c r="O316" s="113">
        <v>0</v>
      </c>
      <c r="P316" s="113">
        <v>0</v>
      </c>
      <c r="Q316" s="113">
        <f>IF($F$4="NO",IF(Valores!$C$28*B316&gt;Valores!$C$25,Valores!$C$25,Valores!$C$28*B316),IF(Valores!$C$28*B316&gt;Valores!$C$25,Valores!$C$25,Valores!$C$28*B316)/2)</f>
        <v>20964.48</v>
      </c>
      <c r="R316" s="113">
        <v>0</v>
      </c>
      <c r="S316" s="113">
        <f t="shared" si="55"/>
        <v>0</v>
      </c>
      <c r="T316" s="113">
        <v>0</v>
      </c>
      <c r="U316" s="113">
        <v>0</v>
      </c>
      <c r="V316" s="169">
        <v>0</v>
      </c>
      <c r="W316" s="113">
        <f>ROUND(V316*Valores!$C$2,2)</f>
        <v>0</v>
      </c>
      <c r="X316" s="113">
        <v>0</v>
      </c>
      <c r="Y316" s="188">
        <v>0</v>
      </c>
      <c r="Z316" s="113">
        <v>0</v>
      </c>
      <c r="AA316" s="169">
        <v>0</v>
      </c>
      <c r="AB316" s="113">
        <f>ROUND(AA316*Valores!$C$2,2)</f>
        <v>0</v>
      </c>
      <c r="AC316" s="113"/>
      <c r="AD316" s="113">
        <f>SUM(F316,H316,J316,L316,M316,N316,O316,P316,Q316,S316,T316,U316,W316,X316,Z316,AB316,AC316)*Valores!$C$58</f>
        <v>25360.455000000002</v>
      </c>
      <c r="AE316" s="113">
        <f t="shared" si="49"/>
        <v>278965.005</v>
      </c>
      <c r="AF316" s="113">
        <v>0</v>
      </c>
      <c r="AG316" s="113">
        <f>AE316*Valores!$C$60*Valores!$C$61</f>
        <v>0</v>
      </c>
      <c r="AH316" s="113">
        <f t="shared" si="45"/>
        <v>0</v>
      </c>
      <c r="AI316" s="113">
        <f>AE316*Valores!$C$39</f>
        <v>-30686.150550000002</v>
      </c>
      <c r="AJ316" s="113">
        <f>IF(AE316&lt;Valores!$E$40,-0.02,IF(AE316&lt;Valores!$F$40,-0.03,-0.04))*AE316</f>
        <v>-5579.3001000000004</v>
      </c>
      <c r="AK316" s="113">
        <f>AE316*Valores!$C$42</f>
        <v>-15343.075275000001</v>
      </c>
      <c r="AL316" s="113">
        <v>0</v>
      </c>
      <c r="AM316" s="113">
        <v>0</v>
      </c>
      <c r="AN316" s="113">
        <f t="shared" si="50"/>
        <v>227356.47907500001</v>
      </c>
      <c r="AO316" s="113">
        <f t="shared" si="44"/>
        <v>-30686.150550000002</v>
      </c>
      <c r="AP316" s="113">
        <f t="shared" si="51"/>
        <v>-5579.3001000000004</v>
      </c>
      <c r="AQ316" s="113">
        <f>AE316*Valores!$C$43</f>
        <v>-7532.0551349999996</v>
      </c>
      <c r="AR316" s="113">
        <f>AE316*Valores!$C$44</f>
        <v>-836.89501500000006</v>
      </c>
      <c r="AS316" s="113">
        <f t="shared" si="46"/>
        <v>234330.6042</v>
      </c>
      <c r="AT316" s="113">
        <f>AE316*Valores!$C$46</f>
        <v>44634.400800000003</v>
      </c>
      <c r="AU316" s="113">
        <f>AE316*Valores!$C$47</f>
        <v>19527.550350000001</v>
      </c>
      <c r="AV316" s="113">
        <f>AE316*Valores!$C$48</f>
        <v>2789.6500500000002</v>
      </c>
      <c r="AW316" s="113">
        <f>AE316*Valores!$C$50</f>
        <v>9763.7751750000007</v>
      </c>
      <c r="AX316" s="113">
        <f>AE316*Valores!$C$52</f>
        <v>15064.110269999999</v>
      </c>
      <c r="AY316" s="113">
        <f>AE316*Valores!$C$51</f>
        <v>1673.7900300000001</v>
      </c>
      <c r="AZ316" s="114"/>
      <c r="BA316" s="114"/>
      <c r="BB316" s="111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  <c r="GD316" s="100"/>
      <c r="GE316" s="100"/>
      <c r="GF316" s="100"/>
      <c r="GG316" s="100"/>
      <c r="GH316" s="100"/>
      <c r="GI316" s="100"/>
      <c r="GJ316" s="100"/>
      <c r="GK316" s="100"/>
      <c r="GL316" s="100"/>
      <c r="GM316" s="100"/>
      <c r="GN316" s="100"/>
      <c r="GO316" s="100"/>
      <c r="GP316" s="100"/>
      <c r="GQ316" s="100"/>
      <c r="GR316" s="100"/>
      <c r="GS316" s="100"/>
      <c r="GT316" s="100"/>
      <c r="GU316" s="100"/>
      <c r="GV316" s="100"/>
      <c r="GW316" s="100"/>
      <c r="GX316" s="100"/>
      <c r="GY316" s="100"/>
      <c r="GZ316" s="100"/>
      <c r="HA316" s="100"/>
      <c r="HB316" s="100"/>
      <c r="HC316" s="100"/>
      <c r="HD316" s="100"/>
      <c r="HE316" s="100"/>
      <c r="HF316" s="100"/>
      <c r="HG316" s="100"/>
      <c r="HH316" s="100"/>
      <c r="HI316" s="100"/>
      <c r="HJ316" s="100"/>
      <c r="HK316" s="100"/>
      <c r="HL316" s="100"/>
      <c r="HM316" s="100"/>
      <c r="HN316" s="100"/>
      <c r="HO316" s="100"/>
      <c r="HP316" s="100"/>
      <c r="HQ316" s="100"/>
      <c r="HR316" s="100"/>
      <c r="HS316" s="100"/>
      <c r="HT316" s="100"/>
      <c r="HU316" s="100"/>
      <c r="HV316" s="100"/>
      <c r="HW316" s="100"/>
      <c r="HX316" s="100"/>
      <c r="HY316" s="100"/>
      <c r="HZ316" s="100"/>
      <c r="IA316" s="100"/>
      <c r="IB316" s="100"/>
      <c r="IC316" s="100"/>
      <c r="ID316" s="100"/>
      <c r="IE316" s="100"/>
      <c r="IF316" s="100"/>
      <c r="IG316" s="100"/>
      <c r="IH316" s="100"/>
      <c r="II316" s="100"/>
      <c r="IJ316" s="100"/>
      <c r="IK316" s="100"/>
      <c r="IL316" s="100"/>
      <c r="IM316" s="100"/>
      <c r="IN316" s="100"/>
      <c r="IO316" s="100"/>
      <c r="IP316" s="100"/>
      <c r="IQ316" s="100"/>
      <c r="IR316" s="100"/>
      <c r="IS316" s="100"/>
      <c r="IT316" s="100"/>
      <c r="IU316" s="100"/>
      <c r="IV316" s="100"/>
      <c r="IW316" s="100"/>
      <c r="IX316" s="100"/>
      <c r="IY316" s="100"/>
      <c r="IZ316" s="100"/>
      <c r="JA316" s="100"/>
      <c r="JB316" s="100"/>
      <c r="JC316" s="100"/>
      <c r="JD316" s="100"/>
      <c r="JE316" s="100"/>
      <c r="JF316" s="100"/>
      <c r="JG316" s="100"/>
      <c r="JH316" s="100"/>
      <c r="JI316" s="100"/>
      <c r="JJ316" s="100"/>
      <c r="JK316" s="100"/>
      <c r="JL316" s="100"/>
      <c r="JM316" s="100"/>
      <c r="JN316" s="100"/>
      <c r="JO316" s="100"/>
      <c r="JP316" s="100"/>
      <c r="JQ316" s="100"/>
      <c r="JR316" s="100"/>
      <c r="JS316" s="100"/>
      <c r="JT316" s="100"/>
      <c r="JU316" s="100"/>
      <c r="JV316" s="100"/>
      <c r="JW316" s="100"/>
      <c r="JX316" s="100"/>
      <c r="JY316" s="100"/>
      <c r="JZ316" s="100"/>
      <c r="KA316" s="100"/>
      <c r="KB316" s="100"/>
      <c r="KC316" s="100"/>
      <c r="KD316" s="100"/>
      <c r="KE316" s="100"/>
      <c r="KF316" s="100"/>
      <c r="KG316" s="100"/>
      <c r="KH316" s="100"/>
      <c r="KI316" s="100"/>
      <c r="KJ316" s="100"/>
      <c r="KK316" s="100"/>
      <c r="KL316" s="100"/>
      <c r="KM316" s="100"/>
      <c r="KN316" s="100"/>
      <c r="KO316" s="100"/>
      <c r="KP316" s="100"/>
      <c r="KQ316" s="100"/>
      <c r="KR316" s="100"/>
      <c r="KS316" s="100"/>
      <c r="KT316" s="100"/>
      <c r="KU316" s="100"/>
      <c r="KV316" s="100"/>
      <c r="KW316" s="100"/>
      <c r="KX316" s="100"/>
      <c r="KY316" s="100"/>
      <c r="KZ316" s="100"/>
      <c r="LA316" s="100"/>
      <c r="LB316" s="100"/>
      <c r="LC316" s="100"/>
      <c r="LD316" s="100"/>
      <c r="LE316" s="100"/>
      <c r="LF316" s="100"/>
      <c r="LG316" s="100"/>
      <c r="LH316" s="100"/>
      <c r="LI316" s="100"/>
      <c r="LJ316" s="100"/>
      <c r="LK316" s="100"/>
      <c r="LL316" s="100"/>
      <c r="LM316" s="100"/>
      <c r="LN316" s="100"/>
      <c r="LO316" s="100"/>
      <c r="LP316" s="100"/>
      <c r="LQ316" s="100"/>
      <c r="LR316" s="100"/>
      <c r="LS316" s="100"/>
      <c r="LT316" s="100"/>
      <c r="LU316" s="100"/>
      <c r="LV316" s="100"/>
      <c r="LW316" s="100"/>
      <c r="LX316" s="100"/>
      <c r="LY316" s="100"/>
      <c r="LZ316" s="100"/>
      <c r="MA316" s="100"/>
      <c r="MB316" s="100"/>
      <c r="MC316" s="100"/>
      <c r="MD316" s="100"/>
      <c r="ME316" s="100"/>
      <c r="MF316" s="100"/>
      <c r="MG316" s="100"/>
      <c r="MH316" s="100"/>
      <c r="MI316" s="100"/>
      <c r="MJ316" s="100"/>
      <c r="MK316" s="100"/>
      <c r="ML316" s="100"/>
      <c r="MM316" s="100"/>
      <c r="MN316" s="100"/>
      <c r="MO316" s="100"/>
      <c r="MP316" s="100"/>
      <c r="MQ316" s="100"/>
      <c r="MR316" s="100"/>
      <c r="MS316" s="100"/>
      <c r="MT316" s="100"/>
      <c r="MU316" s="100"/>
      <c r="MV316" s="100"/>
      <c r="MW316" s="100"/>
      <c r="MX316" s="100"/>
      <c r="MY316" s="100"/>
      <c r="MZ316" s="100"/>
      <c r="NA316" s="100"/>
      <c r="NB316" s="100"/>
      <c r="NC316" s="100"/>
      <c r="ND316" s="100"/>
      <c r="NE316" s="100"/>
      <c r="NF316" s="100"/>
      <c r="NG316" s="100"/>
      <c r="NH316" s="100"/>
      <c r="NI316" s="100"/>
      <c r="NJ316" s="100"/>
      <c r="NK316" s="100"/>
      <c r="NL316" s="100"/>
      <c r="NM316" s="100"/>
      <c r="NN316" s="100"/>
      <c r="NO316" s="100"/>
      <c r="NP316" s="100"/>
      <c r="NQ316" s="100"/>
      <c r="NR316" s="100"/>
      <c r="NS316" s="100"/>
      <c r="NT316" s="100"/>
      <c r="NU316" s="100"/>
      <c r="NV316" s="100"/>
      <c r="NW316" s="100"/>
      <c r="NX316" s="100"/>
      <c r="NY316" s="100"/>
      <c r="NZ316" s="100"/>
      <c r="OA316" s="100"/>
      <c r="OB316" s="100"/>
      <c r="OC316" s="100"/>
      <c r="OD316" s="100"/>
      <c r="OE316" s="100"/>
      <c r="OF316" s="100"/>
      <c r="OG316" s="100"/>
      <c r="OH316" s="100"/>
      <c r="OI316" s="100"/>
      <c r="OJ316" s="100"/>
      <c r="OK316" s="100"/>
      <c r="OL316" s="100"/>
      <c r="OM316" s="100"/>
      <c r="ON316" s="100"/>
      <c r="OO316" s="100"/>
      <c r="OP316" s="100"/>
      <c r="OQ316" s="100"/>
      <c r="OR316" s="100"/>
      <c r="OS316" s="100"/>
      <c r="OT316" s="100"/>
      <c r="OU316" s="100"/>
      <c r="OV316" s="100"/>
      <c r="OW316" s="100"/>
      <c r="OX316" s="100"/>
      <c r="OY316" s="100"/>
      <c r="OZ316" s="100"/>
      <c r="PA316" s="100"/>
      <c r="PB316" s="100"/>
      <c r="PC316" s="100"/>
      <c r="PD316" s="100"/>
      <c r="PE316" s="100"/>
      <c r="PF316" s="100"/>
      <c r="PG316" s="100"/>
      <c r="PH316" s="100"/>
      <c r="PI316" s="100"/>
      <c r="PJ316" s="100"/>
      <c r="PK316" s="100"/>
      <c r="PL316" s="100"/>
      <c r="PM316" s="100"/>
      <c r="PN316" s="100"/>
      <c r="PO316" s="100"/>
      <c r="PP316" s="100"/>
      <c r="PQ316" s="100"/>
      <c r="PR316" s="100"/>
      <c r="PS316" s="100"/>
      <c r="PT316" s="100"/>
      <c r="PU316" s="100"/>
      <c r="PV316" s="100"/>
      <c r="PW316" s="100"/>
      <c r="PX316" s="100"/>
      <c r="PY316" s="100"/>
      <c r="PZ316" s="100"/>
      <c r="QA316" s="100"/>
      <c r="QB316" s="100"/>
      <c r="QC316" s="100"/>
      <c r="QD316" s="100"/>
      <c r="QE316" s="100"/>
      <c r="QF316" s="100"/>
      <c r="QG316" s="100"/>
      <c r="QH316" s="100"/>
      <c r="QI316" s="100"/>
      <c r="QJ316" s="100"/>
      <c r="QK316" s="100"/>
      <c r="QL316" s="100"/>
      <c r="QM316" s="100"/>
      <c r="QN316" s="100"/>
      <c r="QO316" s="100"/>
      <c r="QP316" s="100"/>
      <c r="QQ316" s="100"/>
      <c r="QR316" s="100"/>
      <c r="QS316" s="100"/>
      <c r="QT316" s="100"/>
      <c r="QU316" s="100"/>
      <c r="QV316" s="100"/>
      <c r="QW316" s="100"/>
      <c r="QX316" s="100"/>
      <c r="QY316" s="100"/>
      <c r="QZ316" s="100"/>
      <c r="RA316" s="100"/>
      <c r="RB316" s="100"/>
      <c r="RC316" s="100"/>
      <c r="RD316" s="100"/>
      <c r="RE316" s="100"/>
      <c r="RF316" s="100"/>
      <c r="RG316" s="100"/>
      <c r="RH316" s="100"/>
      <c r="RI316" s="100"/>
      <c r="RJ316" s="100"/>
      <c r="RK316" s="100"/>
      <c r="RL316" s="100"/>
      <c r="RM316" s="100"/>
      <c r="RN316" s="100"/>
      <c r="RO316" s="100"/>
      <c r="RP316" s="100"/>
      <c r="RQ316" s="100"/>
      <c r="RR316" s="100"/>
      <c r="RS316" s="100"/>
      <c r="RT316" s="100"/>
      <c r="RU316" s="100"/>
      <c r="RV316" s="100"/>
      <c r="RW316" s="100"/>
      <c r="RX316" s="100"/>
      <c r="RY316" s="100"/>
      <c r="RZ316" s="100"/>
      <c r="SA316" s="100"/>
      <c r="SB316" s="100"/>
      <c r="SC316" s="100"/>
      <c r="SD316" s="100"/>
      <c r="SE316" s="100"/>
      <c r="SF316" s="100"/>
      <c r="SG316" s="100"/>
      <c r="SH316" s="100"/>
      <c r="SI316" s="100"/>
      <c r="SJ316" s="100"/>
      <c r="SK316" s="100"/>
      <c r="SL316" s="100"/>
      <c r="SM316" s="100"/>
      <c r="SN316" s="100"/>
      <c r="SO316" s="100"/>
      <c r="SP316" s="100"/>
      <c r="SQ316" s="100"/>
      <c r="SR316" s="100"/>
      <c r="SS316" s="100"/>
      <c r="ST316" s="100"/>
      <c r="SU316" s="100"/>
      <c r="SV316" s="100"/>
      <c r="SW316" s="100"/>
      <c r="SX316" s="100"/>
      <c r="SY316" s="100"/>
      <c r="SZ316" s="100"/>
      <c r="TA316" s="100"/>
      <c r="TB316" s="100"/>
      <c r="TC316" s="100"/>
      <c r="TD316" s="100"/>
      <c r="TE316" s="100"/>
      <c r="TF316" s="100"/>
      <c r="TG316" s="100"/>
      <c r="TH316" s="100"/>
      <c r="TI316" s="100"/>
      <c r="TJ316" s="100"/>
      <c r="TK316" s="100"/>
      <c r="TL316" s="100"/>
      <c r="TM316" s="100"/>
      <c r="TN316" s="100"/>
      <c r="TO316" s="100"/>
      <c r="TP316" s="100"/>
      <c r="TQ316" s="100"/>
      <c r="TR316" s="100"/>
      <c r="TS316" s="100"/>
      <c r="TT316" s="100"/>
      <c r="TU316" s="100"/>
      <c r="TV316" s="100"/>
      <c r="TW316" s="100"/>
      <c r="TX316" s="100"/>
      <c r="TY316" s="100"/>
      <c r="TZ316" s="100"/>
      <c r="UA316" s="100"/>
      <c r="UB316" s="100"/>
      <c r="UC316" s="100"/>
      <c r="UD316" s="100"/>
      <c r="UE316" s="100"/>
      <c r="UF316" s="100"/>
      <c r="UG316" s="100"/>
      <c r="UH316" s="100"/>
      <c r="UI316" s="100"/>
      <c r="UJ316" s="100"/>
      <c r="UK316" s="100"/>
      <c r="UL316" s="100"/>
      <c r="UM316" s="100"/>
      <c r="UN316" s="100"/>
      <c r="UO316" s="100"/>
      <c r="UP316" s="100"/>
      <c r="UQ316" s="100"/>
      <c r="UR316" s="100"/>
      <c r="US316" s="100"/>
      <c r="UT316" s="100"/>
      <c r="UU316" s="100"/>
      <c r="UV316" s="100"/>
      <c r="UW316" s="100"/>
      <c r="UX316" s="100"/>
      <c r="UY316" s="100"/>
      <c r="UZ316" s="100"/>
      <c r="VA316" s="100"/>
      <c r="VB316" s="100"/>
      <c r="VC316" s="100"/>
      <c r="VD316" s="100"/>
      <c r="VE316" s="100"/>
      <c r="VF316" s="100"/>
      <c r="VG316" s="100"/>
      <c r="VH316" s="100"/>
      <c r="VI316" s="100"/>
      <c r="VJ316" s="100"/>
      <c r="VK316" s="100"/>
      <c r="VL316" s="100"/>
      <c r="VM316" s="100"/>
      <c r="VN316" s="100"/>
      <c r="VO316" s="100"/>
      <c r="VP316" s="100"/>
      <c r="VQ316" s="100"/>
      <c r="VR316" s="100"/>
      <c r="VS316" s="100"/>
      <c r="VT316" s="100"/>
      <c r="VU316" s="100"/>
      <c r="VV316" s="100"/>
      <c r="VW316" s="100"/>
      <c r="VX316" s="100"/>
      <c r="VY316" s="100"/>
      <c r="VZ316" s="100"/>
      <c r="WA316" s="100"/>
      <c r="WB316" s="100"/>
      <c r="WC316" s="100"/>
      <c r="WD316" s="100"/>
      <c r="WE316" s="100"/>
      <c r="WF316" s="100"/>
      <c r="WG316" s="100"/>
      <c r="WH316" s="100"/>
      <c r="WI316" s="100"/>
      <c r="WJ316" s="100"/>
      <c r="WK316" s="100"/>
      <c r="WL316" s="100"/>
      <c r="WM316" s="100"/>
      <c r="WN316" s="100"/>
      <c r="WO316" s="100"/>
      <c r="WP316" s="100"/>
      <c r="WQ316" s="100"/>
      <c r="WR316" s="100"/>
      <c r="WS316" s="100"/>
      <c r="WT316" s="100"/>
      <c r="WU316" s="100"/>
      <c r="WV316" s="100"/>
      <c r="WW316" s="100"/>
      <c r="WX316" s="100"/>
      <c r="WY316" s="100"/>
      <c r="WZ316" s="100"/>
      <c r="XA316" s="100"/>
      <c r="XB316" s="100"/>
      <c r="XC316" s="100"/>
      <c r="XD316" s="100"/>
      <c r="XE316" s="100"/>
      <c r="XF316" s="100"/>
      <c r="XG316" s="100"/>
      <c r="XH316" s="100"/>
      <c r="XI316" s="100"/>
      <c r="XJ316" s="100"/>
      <c r="XK316" s="100"/>
      <c r="XL316" s="100"/>
      <c r="XM316" s="100"/>
      <c r="XN316" s="100"/>
      <c r="XO316" s="100"/>
      <c r="XP316" s="100"/>
      <c r="XQ316" s="100"/>
      <c r="XR316" s="100"/>
      <c r="XS316" s="100"/>
      <c r="XT316" s="100"/>
      <c r="XU316" s="100"/>
      <c r="XV316" s="100"/>
      <c r="XW316" s="100"/>
      <c r="XX316" s="100"/>
      <c r="XY316" s="100"/>
      <c r="XZ316" s="100"/>
      <c r="YA316" s="100"/>
      <c r="YB316" s="100"/>
      <c r="YC316" s="100"/>
      <c r="YD316" s="100"/>
      <c r="YE316" s="100"/>
      <c r="YF316" s="100"/>
      <c r="YG316" s="100"/>
      <c r="YH316" s="100"/>
      <c r="YI316" s="100"/>
      <c r="YJ316" s="100"/>
      <c r="YK316" s="100"/>
      <c r="YL316" s="100"/>
      <c r="YM316" s="100"/>
      <c r="YN316" s="100"/>
      <c r="YO316" s="100"/>
      <c r="YP316" s="100"/>
      <c r="YQ316" s="100"/>
      <c r="YR316" s="100"/>
      <c r="YS316" s="100"/>
      <c r="YT316" s="100"/>
      <c r="YU316" s="100"/>
      <c r="YV316" s="100"/>
      <c r="YW316" s="100"/>
      <c r="YX316" s="100"/>
      <c r="YY316" s="100"/>
      <c r="YZ316" s="100"/>
      <c r="ZA316" s="100"/>
      <c r="ZB316" s="100"/>
      <c r="ZC316" s="100"/>
      <c r="ZD316" s="100"/>
      <c r="ZE316" s="100"/>
      <c r="ZF316" s="100"/>
      <c r="ZG316" s="100"/>
      <c r="ZH316" s="100"/>
      <c r="ZI316" s="100"/>
      <c r="ZJ316" s="100"/>
      <c r="ZK316" s="100"/>
      <c r="ZL316" s="100"/>
      <c r="ZM316" s="100"/>
      <c r="ZN316" s="100"/>
      <c r="ZO316" s="100"/>
      <c r="ZP316" s="100"/>
      <c r="ZQ316" s="100"/>
      <c r="ZR316" s="100"/>
      <c r="ZS316" s="100"/>
      <c r="ZT316" s="100"/>
      <c r="ZU316" s="100"/>
      <c r="ZV316" s="100"/>
      <c r="ZW316" s="100"/>
      <c r="ZX316" s="100"/>
      <c r="ZY316" s="100"/>
      <c r="ZZ316" s="100"/>
      <c r="AAA316" s="100"/>
      <c r="AAB316" s="100"/>
      <c r="AAC316" s="100"/>
      <c r="AAD316" s="100"/>
      <c r="AAE316" s="100"/>
      <c r="AAF316" s="100"/>
      <c r="AAG316" s="100"/>
      <c r="AAH316" s="100"/>
      <c r="AAI316" s="100"/>
      <c r="AAJ316" s="100"/>
      <c r="AAK316" s="100"/>
      <c r="AAL316" s="100"/>
      <c r="AAM316" s="100"/>
      <c r="AAN316" s="100"/>
      <c r="AAO316" s="100"/>
      <c r="AAP316" s="100"/>
      <c r="AAQ316" s="100"/>
      <c r="AAR316" s="100"/>
      <c r="AAS316" s="100"/>
      <c r="AAT316" s="100"/>
      <c r="AAU316" s="100"/>
      <c r="AAV316" s="100"/>
      <c r="AAW316" s="100"/>
      <c r="AAX316" s="100"/>
      <c r="AAY316" s="100"/>
      <c r="AAZ316" s="100"/>
      <c r="ABA316" s="100"/>
      <c r="ABB316" s="100"/>
      <c r="ABC316" s="100"/>
      <c r="ABD316" s="100"/>
      <c r="ABE316" s="100"/>
      <c r="ABF316" s="100"/>
      <c r="ABG316" s="100"/>
      <c r="ABH316" s="100"/>
      <c r="ABI316" s="100"/>
      <c r="ABJ316" s="100"/>
      <c r="ABK316" s="100"/>
      <c r="ABL316" s="100"/>
      <c r="ABM316" s="100"/>
      <c r="ABN316" s="100"/>
      <c r="ABO316" s="100"/>
      <c r="ABP316" s="100"/>
      <c r="ABQ316" s="100"/>
      <c r="ABR316" s="100"/>
      <c r="ABS316" s="100"/>
      <c r="ABT316" s="100"/>
      <c r="ABU316" s="100"/>
      <c r="ABV316" s="100"/>
      <c r="ABW316" s="100"/>
      <c r="ABX316" s="100"/>
      <c r="ABY316" s="100"/>
      <c r="ABZ316" s="100"/>
      <c r="ACA316" s="100"/>
      <c r="ACB316" s="100"/>
      <c r="ACC316" s="100"/>
      <c r="ACD316" s="100"/>
      <c r="ACE316" s="100"/>
      <c r="ACF316" s="100"/>
      <c r="ACG316" s="100"/>
      <c r="ACH316" s="100"/>
      <c r="ACI316" s="100"/>
      <c r="ACJ316" s="100"/>
      <c r="ACK316" s="100"/>
      <c r="ACL316" s="100"/>
      <c r="ACM316" s="100"/>
      <c r="ACN316" s="100"/>
      <c r="ACO316" s="100"/>
      <c r="ACP316" s="100"/>
      <c r="ACQ316" s="100"/>
      <c r="ACR316" s="100"/>
      <c r="ACS316" s="100"/>
      <c r="ACT316" s="100"/>
      <c r="ACU316" s="100"/>
      <c r="ACV316" s="100"/>
      <c r="ACW316" s="100"/>
      <c r="ACX316" s="100"/>
      <c r="ACY316" s="100"/>
      <c r="ACZ316" s="100"/>
      <c r="ADA316" s="100"/>
      <c r="ADB316" s="100"/>
      <c r="ADC316" s="100"/>
      <c r="ADD316" s="100"/>
      <c r="ADE316" s="100"/>
      <c r="ADF316" s="100"/>
      <c r="ADG316" s="100"/>
      <c r="ADH316" s="100"/>
      <c r="ADI316" s="100"/>
      <c r="ADJ316" s="100"/>
      <c r="ADK316" s="100"/>
      <c r="ADL316" s="100"/>
      <c r="ADM316" s="100"/>
      <c r="ADN316" s="100"/>
      <c r="ADO316" s="100"/>
      <c r="ADP316" s="100"/>
      <c r="ADQ316" s="100"/>
      <c r="ADR316" s="100"/>
      <c r="ADS316" s="100"/>
      <c r="ADT316" s="100"/>
      <c r="ADU316" s="100"/>
      <c r="ADV316" s="100"/>
      <c r="ADW316" s="100"/>
      <c r="ADX316" s="100"/>
      <c r="ADY316" s="100"/>
      <c r="ADZ316" s="100"/>
      <c r="AEA316" s="100"/>
      <c r="AEB316" s="100"/>
      <c r="AEC316" s="100"/>
      <c r="AED316" s="100"/>
      <c r="AEE316" s="100"/>
      <c r="AEF316" s="100"/>
      <c r="AEG316" s="100"/>
      <c r="AEH316" s="100"/>
      <c r="AEI316" s="100"/>
      <c r="AEJ316" s="100"/>
      <c r="AEK316" s="100"/>
      <c r="AEL316" s="100"/>
      <c r="AEM316" s="100"/>
      <c r="AEN316" s="100"/>
      <c r="AEO316" s="100"/>
      <c r="AEP316" s="100"/>
      <c r="AEQ316" s="100"/>
      <c r="AER316" s="100"/>
      <c r="AES316" s="100"/>
      <c r="AET316" s="100"/>
      <c r="AEU316" s="100"/>
      <c r="AEV316" s="100"/>
      <c r="AEW316" s="100"/>
      <c r="AEX316" s="100"/>
      <c r="AEY316" s="100"/>
      <c r="AEZ316" s="100"/>
      <c r="AFA316" s="100"/>
      <c r="AFB316" s="100"/>
      <c r="AFC316" s="100"/>
      <c r="AFD316" s="100"/>
      <c r="AFE316" s="100"/>
      <c r="AFF316" s="100"/>
      <c r="AFG316" s="100"/>
      <c r="AFH316" s="100"/>
      <c r="AFI316" s="100"/>
      <c r="AFJ316" s="100"/>
      <c r="AFK316" s="100"/>
      <c r="AFL316" s="100"/>
      <c r="AFM316" s="100"/>
      <c r="AFN316" s="100"/>
      <c r="AFO316" s="100"/>
      <c r="AFP316" s="100"/>
      <c r="AFQ316" s="100"/>
      <c r="AFR316" s="100"/>
      <c r="AFS316" s="100"/>
      <c r="AFT316" s="100"/>
      <c r="AFU316" s="100"/>
      <c r="AFV316" s="100"/>
      <c r="AFW316" s="100"/>
      <c r="AFX316" s="100"/>
      <c r="AFY316" s="100"/>
      <c r="AFZ316" s="100"/>
      <c r="AGA316" s="100"/>
      <c r="AGB316" s="100"/>
      <c r="AGC316" s="100"/>
      <c r="AGD316" s="100"/>
      <c r="AGE316" s="100"/>
      <c r="AGF316" s="100"/>
      <c r="AGG316" s="100"/>
      <c r="AGH316" s="100"/>
      <c r="AGI316" s="100"/>
      <c r="AGJ316" s="100"/>
      <c r="AGK316" s="100"/>
      <c r="AGL316" s="100"/>
      <c r="AGM316" s="100"/>
      <c r="AGN316" s="100"/>
      <c r="AGO316" s="100"/>
      <c r="AGP316" s="100"/>
      <c r="AGQ316" s="100"/>
      <c r="AGR316" s="100"/>
      <c r="AGS316" s="100"/>
      <c r="AGT316" s="100"/>
      <c r="AGU316" s="100"/>
      <c r="AGV316" s="100"/>
      <c r="AGW316" s="100"/>
      <c r="AGX316" s="100"/>
      <c r="AGY316" s="100"/>
      <c r="AGZ316" s="100"/>
      <c r="AHA316" s="100"/>
      <c r="AHB316" s="100"/>
      <c r="AHC316" s="100"/>
      <c r="AHD316" s="100"/>
      <c r="AHE316" s="100"/>
      <c r="AHF316" s="100"/>
      <c r="AHG316" s="100"/>
      <c r="AHH316" s="100"/>
      <c r="AHI316" s="100"/>
      <c r="AHJ316" s="100"/>
      <c r="AHK316" s="100"/>
      <c r="AHL316" s="100"/>
      <c r="AHM316" s="100"/>
      <c r="AHN316" s="100"/>
      <c r="AHO316" s="100"/>
      <c r="AHP316" s="100"/>
      <c r="AHQ316" s="100"/>
      <c r="AHR316" s="100"/>
      <c r="AHS316" s="100"/>
      <c r="AHT316" s="100"/>
      <c r="AHU316" s="100"/>
      <c r="AHV316" s="100"/>
      <c r="AHW316" s="100"/>
      <c r="AHX316" s="100"/>
      <c r="AHY316" s="100"/>
      <c r="AHZ316" s="100"/>
      <c r="AIA316" s="100"/>
      <c r="AIB316" s="100"/>
      <c r="AIC316" s="100"/>
      <c r="AID316" s="100"/>
      <c r="AIE316" s="100"/>
      <c r="AIF316" s="100"/>
      <c r="AIG316" s="100"/>
      <c r="AIH316" s="100"/>
      <c r="AII316" s="100"/>
      <c r="AIJ316" s="100"/>
      <c r="AIK316" s="100"/>
      <c r="AIL316" s="100"/>
      <c r="AIM316" s="100"/>
      <c r="AIN316" s="100"/>
      <c r="AIO316" s="100"/>
      <c r="AIP316" s="100"/>
      <c r="AIQ316" s="100"/>
      <c r="AIR316" s="100"/>
      <c r="AIS316" s="100"/>
      <c r="AIT316" s="100"/>
      <c r="AIU316" s="100"/>
      <c r="AIV316" s="100"/>
      <c r="AIW316" s="100"/>
      <c r="AIX316" s="100"/>
      <c r="AIY316" s="100"/>
      <c r="AIZ316" s="100"/>
      <c r="AJA316" s="100"/>
      <c r="AJB316" s="100"/>
      <c r="AJC316" s="100"/>
      <c r="AJD316" s="100"/>
      <c r="AJE316" s="100"/>
      <c r="AJF316" s="100"/>
      <c r="AJG316" s="100"/>
      <c r="AJH316" s="100"/>
      <c r="AJI316" s="100"/>
      <c r="AJJ316" s="100"/>
      <c r="AJK316" s="100"/>
      <c r="AJL316" s="100"/>
      <c r="AJM316" s="100"/>
      <c r="AJN316" s="100"/>
      <c r="AJO316" s="100"/>
      <c r="AJP316" s="100"/>
      <c r="AJQ316" s="100"/>
      <c r="AJR316" s="100"/>
      <c r="AJS316" s="100"/>
      <c r="AJT316" s="100"/>
      <c r="AJU316" s="100"/>
      <c r="AJV316" s="100"/>
      <c r="AJW316" s="100"/>
      <c r="AJX316" s="100"/>
      <c r="AJY316" s="100"/>
      <c r="AJZ316" s="100"/>
      <c r="AKA316" s="100"/>
      <c r="AKB316" s="100"/>
      <c r="AKC316" s="100"/>
      <c r="AKD316" s="100"/>
      <c r="AKE316" s="100"/>
      <c r="AKF316" s="100"/>
      <c r="AKG316" s="100"/>
      <c r="AKH316" s="100"/>
      <c r="AKI316" s="100"/>
      <c r="AKJ316" s="100"/>
      <c r="AKK316" s="100"/>
      <c r="AKL316" s="100"/>
      <c r="AKM316" s="100"/>
      <c r="AKN316" s="100"/>
      <c r="AKO316" s="100"/>
      <c r="AKP316" s="100"/>
      <c r="AKQ316" s="100"/>
      <c r="AKR316" s="100"/>
      <c r="AKS316" s="100"/>
      <c r="AKT316" s="100"/>
      <c r="AKU316" s="100"/>
      <c r="AKV316" s="100"/>
      <c r="AKW316" s="100"/>
      <c r="AKX316" s="100"/>
      <c r="AKY316" s="100"/>
      <c r="AKZ316" s="100"/>
      <c r="ALA316" s="100"/>
      <c r="ALB316" s="100"/>
      <c r="ALC316" s="100"/>
      <c r="ALD316" s="100"/>
      <c r="ALE316" s="100"/>
      <c r="ALF316" s="100"/>
      <c r="ALG316" s="100"/>
      <c r="ALH316" s="100"/>
      <c r="ALI316" s="100"/>
      <c r="ALJ316" s="100"/>
      <c r="ALK316" s="100"/>
      <c r="ALL316" s="100"/>
      <c r="ALM316" s="100"/>
      <c r="ALN316" s="100"/>
      <c r="ALO316" s="100"/>
      <c r="ALP316" s="100"/>
      <c r="ALQ316" s="100"/>
      <c r="ALR316" s="100"/>
      <c r="ALS316" s="100"/>
      <c r="ALT316" s="100"/>
      <c r="ALU316" s="100"/>
      <c r="ALV316" s="100"/>
      <c r="ALW316" s="100"/>
      <c r="ALX316" s="100"/>
      <c r="ALY316" s="100"/>
      <c r="ALZ316" s="100"/>
      <c r="AMA316" s="100"/>
      <c r="AMB316" s="100"/>
      <c r="AMC316" s="100"/>
      <c r="AMD316" s="100"/>
    </row>
    <row r="317" spans="1:1018" s="127" customFormat="1" ht="11.25" customHeight="1" x14ac:dyDescent="0.15">
      <c r="A317" s="111"/>
      <c r="B317" s="126">
        <v>13</v>
      </c>
      <c r="C317" s="114">
        <v>310</v>
      </c>
      <c r="D317" s="115" t="s">
        <v>453</v>
      </c>
      <c r="E317" s="171">
        <v>2015</v>
      </c>
      <c r="F317" s="113">
        <f>ROUND(E317*Valores!$C$2,2)</f>
        <v>197079.09</v>
      </c>
      <c r="G317" s="169">
        <v>0</v>
      </c>
      <c r="H317" s="113">
        <f>ROUND(G317*Valores!$C$2,2)</f>
        <v>0</v>
      </c>
      <c r="I317" s="169">
        <v>0</v>
      </c>
      <c r="J317" s="113">
        <f>ROUND(I317*Valores!$C$2,2)</f>
        <v>0</v>
      </c>
      <c r="K317" s="169">
        <v>0</v>
      </c>
      <c r="L317" s="113">
        <f>ROUND(K317*Valores!$C$2,2)</f>
        <v>0</v>
      </c>
      <c r="M317" s="113">
        <f>ROUND(IF($H$2=0,IF(AND(A317&lt;&gt;"13-930",A317&lt;&gt;"13-940"),(SUM(F317,H317,J317,L317,W317,S317,Q317)*Valores!$C$4),0),0),2)</f>
        <v>54947.65</v>
      </c>
      <c r="N317" s="113">
        <f t="shared" si="54"/>
        <v>0</v>
      </c>
      <c r="O317" s="113">
        <v>0</v>
      </c>
      <c r="P317" s="113">
        <v>0</v>
      </c>
      <c r="Q317" s="113">
        <f>IF($F$4="NO",IF(Valores!$C$28*B317&gt;Valores!$C$25,Valores!$C$25,Valores!$C$28*B317),IF(Valores!$C$28*B317&gt;Valores!$C$25,Valores!$C$25,Valores!$C$28*B317)/2)</f>
        <v>22711.52</v>
      </c>
      <c r="R317" s="113">
        <v>0</v>
      </c>
      <c r="S317" s="113">
        <f t="shared" si="55"/>
        <v>0</v>
      </c>
      <c r="T317" s="113">
        <v>0</v>
      </c>
      <c r="U317" s="113">
        <v>0</v>
      </c>
      <c r="V317" s="169">
        <v>0</v>
      </c>
      <c r="W317" s="113">
        <f>ROUND(V317*Valores!$C$2,2)</f>
        <v>0</v>
      </c>
      <c r="X317" s="113">
        <v>0</v>
      </c>
      <c r="Y317" s="188">
        <v>0</v>
      </c>
      <c r="Z317" s="113">
        <v>0</v>
      </c>
      <c r="AA317" s="169">
        <v>0</v>
      </c>
      <c r="AB317" s="113">
        <f>ROUND(AA317*Valores!$C$2,2)</f>
        <v>0</v>
      </c>
      <c r="AC317" s="113"/>
      <c r="AD317" s="113">
        <f>SUM(F317,H317,J317,L317,M317,N317,O317,P317,Q317,S317,T317,U317,W317,X317,Z317,AB317,AC317)*Valores!$C$58</f>
        <v>27473.826000000001</v>
      </c>
      <c r="AE317" s="113">
        <f t="shared" si="49"/>
        <v>302212.08600000001</v>
      </c>
      <c r="AF317" s="113">
        <v>0</v>
      </c>
      <c r="AG317" s="113">
        <f>AE317*Valores!$C$60*Valores!$C$61</f>
        <v>0</v>
      </c>
      <c r="AH317" s="113">
        <f t="shared" si="45"/>
        <v>0</v>
      </c>
      <c r="AI317" s="113">
        <f>AE317*Valores!$C$39</f>
        <v>-33243.329460000001</v>
      </c>
      <c r="AJ317" s="113">
        <f>IF(AE317&lt;Valores!$E$40,-0.02,IF(AE317&lt;Valores!$F$40,-0.03,-0.04))*AE317</f>
        <v>-6044.24172</v>
      </c>
      <c r="AK317" s="113">
        <f>AE317*Valores!$C$42</f>
        <v>-16621.66473</v>
      </c>
      <c r="AL317" s="113">
        <v>0</v>
      </c>
      <c r="AM317" s="113">
        <v>0</v>
      </c>
      <c r="AN317" s="113">
        <f t="shared" si="50"/>
        <v>246302.85009000002</v>
      </c>
      <c r="AO317" s="113">
        <f t="shared" si="44"/>
        <v>-33243.329460000001</v>
      </c>
      <c r="AP317" s="113">
        <f t="shared" si="51"/>
        <v>-6044.24172</v>
      </c>
      <c r="AQ317" s="113">
        <f>AE317*Valores!$C$43</f>
        <v>-8159.7263220000004</v>
      </c>
      <c r="AR317" s="113">
        <f>AE317*Valores!$C$44</f>
        <v>-906.636258</v>
      </c>
      <c r="AS317" s="113">
        <f t="shared" si="46"/>
        <v>253858.15224000002</v>
      </c>
      <c r="AT317" s="113">
        <f>AE317*Valores!$C$46</f>
        <v>48353.93376</v>
      </c>
      <c r="AU317" s="113">
        <f>AE317*Valores!$C$47</f>
        <v>21154.846020000005</v>
      </c>
      <c r="AV317" s="113">
        <f>AE317*Valores!$C$48</f>
        <v>3022.12086</v>
      </c>
      <c r="AW317" s="113">
        <f>AE317*Valores!$C$50</f>
        <v>10577.423010000002</v>
      </c>
      <c r="AX317" s="113">
        <f>AE317*Valores!$C$52</f>
        <v>16319.452644000001</v>
      </c>
      <c r="AY317" s="113">
        <f>AE317*Valores!$C$51</f>
        <v>1813.272516</v>
      </c>
      <c r="AZ317" s="114"/>
      <c r="BA317" s="114"/>
      <c r="BB317" s="111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  <c r="EO317" s="100"/>
      <c r="EP317" s="100"/>
      <c r="EQ317" s="100"/>
      <c r="ER317" s="100"/>
      <c r="ES317" s="100"/>
      <c r="ET317" s="100"/>
      <c r="EU317" s="100"/>
      <c r="EV317" s="100"/>
      <c r="EW317" s="100"/>
      <c r="EX317" s="100"/>
      <c r="EY317" s="100"/>
      <c r="EZ317" s="100"/>
      <c r="FA317" s="100"/>
      <c r="FB317" s="100"/>
      <c r="FC317" s="100"/>
      <c r="FD317" s="100"/>
      <c r="FE317" s="100"/>
      <c r="FF317" s="100"/>
      <c r="FG317" s="100"/>
      <c r="FH317" s="100"/>
      <c r="FI317" s="100"/>
      <c r="FJ317" s="100"/>
      <c r="FK317" s="100"/>
      <c r="FL317" s="100"/>
      <c r="FM317" s="100"/>
      <c r="FN317" s="100"/>
      <c r="FO317" s="100"/>
      <c r="FP317" s="100"/>
      <c r="FQ317" s="100"/>
      <c r="FR317" s="100"/>
      <c r="FS317" s="100"/>
      <c r="FT317" s="100"/>
      <c r="FU317" s="100"/>
      <c r="FV317" s="100"/>
      <c r="FW317" s="100"/>
      <c r="FX317" s="100"/>
      <c r="FY317" s="100"/>
      <c r="FZ317" s="100"/>
      <c r="GA317" s="100"/>
      <c r="GB317" s="100"/>
      <c r="GC317" s="100"/>
      <c r="GD317" s="100"/>
      <c r="GE317" s="100"/>
      <c r="GF317" s="100"/>
      <c r="GG317" s="100"/>
      <c r="GH317" s="100"/>
      <c r="GI317" s="100"/>
      <c r="GJ317" s="100"/>
      <c r="GK317" s="100"/>
      <c r="GL317" s="100"/>
      <c r="GM317" s="100"/>
      <c r="GN317" s="100"/>
      <c r="GO317" s="100"/>
      <c r="GP317" s="100"/>
      <c r="GQ317" s="100"/>
      <c r="GR317" s="100"/>
      <c r="GS317" s="100"/>
      <c r="GT317" s="100"/>
      <c r="GU317" s="100"/>
      <c r="GV317" s="100"/>
      <c r="GW317" s="100"/>
      <c r="GX317" s="100"/>
      <c r="GY317" s="100"/>
      <c r="GZ317" s="100"/>
      <c r="HA317" s="100"/>
      <c r="HB317" s="100"/>
      <c r="HC317" s="100"/>
      <c r="HD317" s="100"/>
      <c r="HE317" s="100"/>
      <c r="HF317" s="100"/>
      <c r="HG317" s="100"/>
      <c r="HH317" s="100"/>
      <c r="HI317" s="100"/>
      <c r="HJ317" s="100"/>
      <c r="HK317" s="100"/>
      <c r="HL317" s="100"/>
      <c r="HM317" s="100"/>
      <c r="HN317" s="100"/>
      <c r="HO317" s="100"/>
      <c r="HP317" s="100"/>
      <c r="HQ317" s="100"/>
      <c r="HR317" s="100"/>
      <c r="HS317" s="100"/>
      <c r="HT317" s="100"/>
      <c r="HU317" s="100"/>
      <c r="HV317" s="100"/>
      <c r="HW317" s="100"/>
      <c r="HX317" s="100"/>
      <c r="HY317" s="100"/>
      <c r="HZ317" s="100"/>
      <c r="IA317" s="100"/>
      <c r="IB317" s="100"/>
      <c r="IC317" s="100"/>
      <c r="ID317" s="100"/>
      <c r="IE317" s="100"/>
      <c r="IF317" s="100"/>
      <c r="IG317" s="100"/>
      <c r="IH317" s="100"/>
      <c r="II317" s="100"/>
      <c r="IJ317" s="100"/>
      <c r="IK317" s="100"/>
      <c r="IL317" s="100"/>
      <c r="IM317" s="100"/>
      <c r="IN317" s="100"/>
      <c r="IO317" s="100"/>
      <c r="IP317" s="100"/>
      <c r="IQ317" s="100"/>
      <c r="IR317" s="100"/>
      <c r="IS317" s="100"/>
      <c r="IT317" s="100"/>
      <c r="IU317" s="100"/>
      <c r="IV317" s="100"/>
      <c r="IW317" s="100"/>
      <c r="IX317" s="100"/>
      <c r="IY317" s="100"/>
      <c r="IZ317" s="100"/>
      <c r="JA317" s="100"/>
      <c r="JB317" s="100"/>
      <c r="JC317" s="100"/>
      <c r="JD317" s="100"/>
      <c r="JE317" s="100"/>
      <c r="JF317" s="100"/>
      <c r="JG317" s="100"/>
      <c r="JH317" s="100"/>
      <c r="JI317" s="100"/>
      <c r="JJ317" s="100"/>
      <c r="JK317" s="100"/>
      <c r="JL317" s="100"/>
      <c r="JM317" s="100"/>
      <c r="JN317" s="100"/>
      <c r="JO317" s="100"/>
      <c r="JP317" s="100"/>
      <c r="JQ317" s="100"/>
      <c r="JR317" s="100"/>
      <c r="JS317" s="100"/>
      <c r="JT317" s="100"/>
      <c r="JU317" s="100"/>
      <c r="JV317" s="100"/>
      <c r="JW317" s="100"/>
      <c r="JX317" s="100"/>
      <c r="JY317" s="100"/>
      <c r="JZ317" s="100"/>
      <c r="KA317" s="100"/>
      <c r="KB317" s="100"/>
      <c r="KC317" s="100"/>
      <c r="KD317" s="100"/>
      <c r="KE317" s="100"/>
      <c r="KF317" s="100"/>
      <c r="KG317" s="100"/>
      <c r="KH317" s="100"/>
      <c r="KI317" s="100"/>
      <c r="KJ317" s="100"/>
      <c r="KK317" s="100"/>
      <c r="KL317" s="100"/>
      <c r="KM317" s="100"/>
      <c r="KN317" s="100"/>
      <c r="KO317" s="100"/>
      <c r="KP317" s="100"/>
      <c r="KQ317" s="100"/>
      <c r="KR317" s="100"/>
      <c r="KS317" s="100"/>
      <c r="KT317" s="100"/>
      <c r="KU317" s="100"/>
      <c r="KV317" s="100"/>
      <c r="KW317" s="100"/>
      <c r="KX317" s="100"/>
      <c r="KY317" s="100"/>
      <c r="KZ317" s="100"/>
      <c r="LA317" s="100"/>
      <c r="LB317" s="100"/>
      <c r="LC317" s="100"/>
      <c r="LD317" s="100"/>
      <c r="LE317" s="100"/>
      <c r="LF317" s="100"/>
      <c r="LG317" s="100"/>
      <c r="LH317" s="100"/>
      <c r="LI317" s="100"/>
      <c r="LJ317" s="100"/>
      <c r="LK317" s="100"/>
      <c r="LL317" s="100"/>
      <c r="LM317" s="100"/>
      <c r="LN317" s="100"/>
      <c r="LO317" s="100"/>
      <c r="LP317" s="100"/>
      <c r="LQ317" s="100"/>
      <c r="LR317" s="100"/>
      <c r="LS317" s="100"/>
      <c r="LT317" s="100"/>
      <c r="LU317" s="100"/>
      <c r="LV317" s="100"/>
      <c r="LW317" s="100"/>
      <c r="LX317" s="100"/>
      <c r="LY317" s="100"/>
      <c r="LZ317" s="100"/>
      <c r="MA317" s="100"/>
      <c r="MB317" s="100"/>
      <c r="MC317" s="100"/>
      <c r="MD317" s="100"/>
      <c r="ME317" s="100"/>
      <c r="MF317" s="100"/>
      <c r="MG317" s="100"/>
      <c r="MH317" s="100"/>
      <c r="MI317" s="100"/>
      <c r="MJ317" s="100"/>
      <c r="MK317" s="100"/>
      <c r="ML317" s="100"/>
      <c r="MM317" s="100"/>
      <c r="MN317" s="100"/>
      <c r="MO317" s="100"/>
      <c r="MP317" s="100"/>
      <c r="MQ317" s="100"/>
      <c r="MR317" s="100"/>
      <c r="MS317" s="100"/>
      <c r="MT317" s="100"/>
      <c r="MU317" s="100"/>
      <c r="MV317" s="100"/>
      <c r="MW317" s="100"/>
      <c r="MX317" s="100"/>
      <c r="MY317" s="100"/>
      <c r="MZ317" s="100"/>
      <c r="NA317" s="100"/>
      <c r="NB317" s="100"/>
      <c r="NC317" s="100"/>
      <c r="ND317" s="100"/>
      <c r="NE317" s="100"/>
      <c r="NF317" s="100"/>
      <c r="NG317" s="100"/>
      <c r="NH317" s="100"/>
      <c r="NI317" s="100"/>
      <c r="NJ317" s="100"/>
      <c r="NK317" s="100"/>
      <c r="NL317" s="100"/>
      <c r="NM317" s="100"/>
      <c r="NN317" s="100"/>
      <c r="NO317" s="100"/>
      <c r="NP317" s="100"/>
      <c r="NQ317" s="100"/>
      <c r="NR317" s="100"/>
      <c r="NS317" s="100"/>
      <c r="NT317" s="100"/>
      <c r="NU317" s="100"/>
      <c r="NV317" s="100"/>
      <c r="NW317" s="100"/>
      <c r="NX317" s="100"/>
      <c r="NY317" s="100"/>
      <c r="NZ317" s="100"/>
      <c r="OA317" s="100"/>
      <c r="OB317" s="100"/>
      <c r="OC317" s="100"/>
      <c r="OD317" s="100"/>
      <c r="OE317" s="100"/>
      <c r="OF317" s="100"/>
      <c r="OG317" s="100"/>
      <c r="OH317" s="100"/>
      <c r="OI317" s="100"/>
      <c r="OJ317" s="100"/>
      <c r="OK317" s="100"/>
      <c r="OL317" s="100"/>
      <c r="OM317" s="100"/>
      <c r="ON317" s="100"/>
      <c r="OO317" s="100"/>
      <c r="OP317" s="100"/>
      <c r="OQ317" s="100"/>
      <c r="OR317" s="100"/>
      <c r="OS317" s="100"/>
      <c r="OT317" s="100"/>
      <c r="OU317" s="100"/>
      <c r="OV317" s="100"/>
      <c r="OW317" s="100"/>
      <c r="OX317" s="100"/>
      <c r="OY317" s="100"/>
      <c r="OZ317" s="100"/>
      <c r="PA317" s="100"/>
      <c r="PB317" s="100"/>
      <c r="PC317" s="100"/>
      <c r="PD317" s="100"/>
      <c r="PE317" s="100"/>
      <c r="PF317" s="100"/>
      <c r="PG317" s="100"/>
      <c r="PH317" s="100"/>
      <c r="PI317" s="100"/>
      <c r="PJ317" s="100"/>
      <c r="PK317" s="100"/>
      <c r="PL317" s="100"/>
      <c r="PM317" s="1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W317" s="100"/>
      <c r="PX317" s="100"/>
      <c r="PY317" s="100"/>
      <c r="PZ317" s="100"/>
      <c r="QA317" s="100"/>
      <c r="QB317" s="100"/>
      <c r="QC317" s="100"/>
      <c r="QD317" s="100"/>
      <c r="QE317" s="100"/>
      <c r="QF317" s="100"/>
      <c r="QG317" s="100"/>
      <c r="QH317" s="100"/>
      <c r="QI317" s="100"/>
      <c r="QJ317" s="100"/>
      <c r="QK317" s="100"/>
      <c r="QL317" s="100"/>
      <c r="QM317" s="100"/>
      <c r="QN317" s="100"/>
      <c r="QO317" s="100"/>
      <c r="QP317" s="100"/>
      <c r="QQ317" s="100"/>
      <c r="QR317" s="100"/>
      <c r="QS317" s="100"/>
      <c r="QT317" s="100"/>
      <c r="QU317" s="100"/>
      <c r="QV317" s="100"/>
      <c r="QW317" s="100"/>
      <c r="QX317" s="100"/>
      <c r="QY317" s="100"/>
      <c r="QZ317" s="100"/>
      <c r="RA317" s="100"/>
      <c r="RB317" s="100"/>
      <c r="RC317" s="100"/>
      <c r="RD317" s="100"/>
      <c r="RE317" s="100"/>
      <c r="RF317" s="100"/>
      <c r="RG317" s="100"/>
      <c r="RH317" s="100"/>
      <c r="RI317" s="100"/>
      <c r="RJ317" s="100"/>
      <c r="RK317" s="100"/>
      <c r="RL317" s="100"/>
      <c r="RM317" s="100"/>
      <c r="RN317" s="100"/>
      <c r="RO317" s="100"/>
      <c r="RP317" s="100"/>
      <c r="RQ317" s="100"/>
      <c r="RR317" s="100"/>
      <c r="RS317" s="100"/>
      <c r="RT317" s="100"/>
      <c r="RU317" s="100"/>
      <c r="RV317" s="100"/>
      <c r="RW317" s="100"/>
      <c r="RX317" s="100"/>
      <c r="RY317" s="100"/>
      <c r="RZ317" s="100"/>
      <c r="SA317" s="100"/>
      <c r="SB317" s="100"/>
      <c r="SC317" s="100"/>
      <c r="SD317" s="100"/>
      <c r="SE317" s="100"/>
      <c r="SF317" s="100"/>
      <c r="SG317" s="100"/>
      <c r="SH317" s="100"/>
      <c r="SI317" s="100"/>
      <c r="SJ317" s="100"/>
      <c r="SK317" s="100"/>
      <c r="SL317" s="100"/>
      <c r="SM317" s="100"/>
      <c r="SN317" s="100"/>
      <c r="SO317" s="100"/>
      <c r="SP317" s="100"/>
      <c r="SQ317" s="100"/>
      <c r="SR317" s="100"/>
      <c r="SS317" s="100"/>
      <c r="ST317" s="100"/>
      <c r="SU317" s="100"/>
      <c r="SV317" s="100"/>
      <c r="SW317" s="100"/>
      <c r="SX317" s="100"/>
      <c r="SY317" s="100"/>
      <c r="SZ317" s="100"/>
      <c r="TA317" s="100"/>
      <c r="TB317" s="100"/>
      <c r="TC317" s="100"/>
      <c r="TD317" s="100"/>
      <c r="TE317" s="100"/>
      <c r="TF317" s="100"/>
      <c r="TG317" s="100"/>
      <c r="TH317" s="100"/>
      <c r="TI317" s="100"/>
      <c r="TJ317" s="100"/>
      <c r="TK317" s="100"/>
      <c r="TL317" s="100"/>
      <c r="TM317" s="100"/>
      <c r="TN317" s="100"/>
      <c r="TO317" s="100"/>
      <c r="TP317" s="100"/>
      <c r="TQ317" s="100"/>
      <c r="TR317" s="100"/>
      <c r="TS317" s="100"/>
      <c r="TT317" s="100"/>
      <c r="TU317" s="100"/>
      <c r="TV317" s="100"/>
      <c r="TW317" s="100"/>
      <c r="TX317" s="100"/>
      <c r="TY317" s="100"/>
      <c r="TZ317" s="100"/>
      <c r="UA317" s="100"/>
      <c r="UB317" s="100"/>
      <c r="UC317" s="100"/>
      <c r="UD317" s="100"/>
      <c r="UE317" s="100"/>
      <c r="UF317" s="100"/>
      <c r="UG317" s="100"/>
      <c r="UH317" s="100"/>
      <c r="UI317" s="100"/>
      <c r="UJ317" s="100"/>
      <c r="UK317" s="100"/>
      <c r="UL317" s="100"/>
      <c r="UM317" s="100"/>
      <c r="UN317" s="100"/>
      <c r="UO317" s="100"/>
      <c r="UP317" s="100"/>
      <c r="UQ317" s="100"/>
      <c r="UR317" s="100"/>
      <c r="US317" s="100"/>
      <c r="UT317" s="100"/>
      <c r="UU317" s="100"/>
      <c r="UV317" s="100"/>
      <c r="UW317" s="100"/>
      <c r="UX317" s="100"/>
      <c r="UY317" s="100"/>
      <c r="UZ317" s="100"/>
      <c r="VA317" s="100"/>
      <c r="VB317" s="100"/>
      <c r="VC317" s="100"/>
      <c r="VD317" s="100"/>
      <c r="VE317" s="100"/>
      <c r="VF317" s="100"/>
      <c r="VG317" s="100"/>
      <c r="VH317" s="100"/>
      <c r="VI317" s="100"/>
      <c r="VJ317" s="100"/>
      <c r="VK317" s="100"/>
      <c r="VL317" s="100"/>
      <c r="VM317" s="100"/>
      <c r="VN317" s="100"/>
      <c r="VO317" s="100"/>
      <c r="VP317" s="100"/>
      <c r="VQ317" s="100"/>
      <c r="VR317" s="100"/>
      <c r="VS317" s="100"/>
      <c r="VT317" s="100"/>
      <c r="VU317" s="100"/>
      <c r="VV317" s="100"/>
      <c r="VW317" s="100"/>
      <c r="VX317" s="100"/>
      <c r="VY317" s="100"/>
      <c r="VZ317" s="100"/>
      <c r="WA317" s="100"/>
      <c r="WB317" s="100"/>
      <c r="WC317" s="100"/>
      <c r="WD317" s="100"/>
      <c r="WE317" s="100"/>
      <c r="WF317" s="100"/>
      <c r="WG317" s="100"/>
      <c r="WH317" s="100"/>
      <c r="WI317" s="100"/>
      <c r="WJ317" s="100"/>
      <c r="WK317" s="100"/>
      <c r="WL317" s="100"/>
      <c r="WM317" s="100"/>
      <c r="WN317" s="100"/>
      <c r="WO317" s="100"/>
      <c r="WP317" s="100"/>
      <c r="WQ317" s="100"/>
      <c r="WR317" s="100"/>
      <c r="WS317" s="100"/>
      <c r="WT317" s="100"/>
      <c r="WU317" s="100"/>
      <c r="WV317" s="100"/>
      <c r="WW317" s="100"/>
      <c r="WX317" s="100"/>
      <c r="WY317" s="100"/>
      <c r="WZ317" s="100"/>
      <c r="XA317" s="100"/>
      <c r="XB317" s="100"/>
      <c r="XC317" s="100"/>
      <c r="XD317" s="100"/>
      <c r="XE317" s="100"/>
      <c r="XF317" s="100"/>
      <c r="XG317" s="100"/>
      <c r="XH317" s="100"/>
      <c r="XI317" s="100"/>
      <c r="XJ317" s="100"/>
      <c r="XK317" s="100"/>
      <c r="XL317" s="100"/>
      <c r="XM317" s="100"/>
      <c r="XN317" s="100"/>
      <c r="XO317" s="100"/>
      <c r="XP317" s="100"/>
      <c r="XQ317" s="100"/>
      <c r="XR317" s="100"/>
      <c r="XS317" s="100"/>
      <c r="XT317" s="100"/>
      <c r="XU317" s="100"/>
      <c r="XV317" s="100"/>
      <c r="XW317" s="100"/>
      <c r="XX317" s="100"/>
      <c r="XY317" s="100"/>
      <c r="XZ317" s="100"/>
      <c r="YA317" s="100"/>
      <c r="YB317" s="100"/>
      <c r="YC317" s="100"/>
      <c r="YD317" s="100"/>
      <c r="YE317" s="100"/>
      <c r="YF317" s="100"/>
      <c r="YG317" s="100"/>
      <c r="YH317" s="100"/>
      <c r="YI317" s="100"/>
      <c r="YJ317" s="100"/>
      <c r="YK317" s="100"/>
      <c r="YL317" s="100"/>
      <c r="YM317" s="100"/>
      <c r="YN317" s="100"/>
      <c r="YO317" s="100"/>
      <c r="YP317" s="100"/>
      <c r="YQ317" s="100"/>
      <c r="YR317" s="100"/>
      <c r="YS317" s="100"/>
      <c r="YT317" s="100"/>
      <c r="YU317" s="100"/>
      <c r="YV317" s="100"/>
      <c r="YW317" s="100"/>
      <c r="YX317" s="100"/>
      <c r="YY317" s="100"/>
      <c r="YZ317" s="100"/>
      <c r="ZA317" s="100"/>
      <c r="ZB317" s="100"/>
      <c r="ZC317" s="100"/>
      <c r="ZD317" s="100"/>
      <c r="ZE317" s="100"/>
      <c r="ZF317" s="100"/>
      <c r="ZG317" s="100"/>
      <c r="ZH317" s="100"/>
      <c r="ZI317" s="100"/>
      <c r="ZJ317" s="100"/>
      <c r="ZK317" s="100"/>
      <c r="ZL317" s="100"/>
      <c r="ZM317" s="100"/>
      <c r="ZN317" s="100"/>
      <c r="ZO317" s="100"/>
      <c r="ZP317" s="100"/>
      <c r="ZQ317" s="100"/>
      <c r="ZR317" s="100"/>
      <c r="ZS317" s="100"/>
      <c r="ZT317" s="100"/>
      <c r="ZU317" s="100"/>
      <c r="ZV317" s="100"/>
      <c r="ZW317" s="100"/>
      <c r="ZX317" s="100"/>
      <c r="ZY317" s="100"/>
      <c r="ZZ317" s="100"/>
      <c r="AAA317" s="100"/>
      <c r="AAB317" s="100"/>
      <c r="AAC317" s="100"/>
      <c r="AAD317" s="100"/>
      <c r="AAE317" s="100"/>
      <c r="AAF317" s="100"/>
      <c r="AAG317" s="100"/>
      <c r="AAH317" s="100"/>
      <c r="AAI317" s="100"/>
      <c r="AAJ317" s="100"/>
      <c r="AAK317" s="100"/>
      <c r="AAL317" s="100"/>
      <c r="AAM317" s="100"/>
      <c r="AAN317" s="100"/>
      <c r="AAO317" s="100"/>
      <c r="AAP317" s="100"/>
      <c r="AAQ317" s="100"/>
      <c r="AAR317" s="100"/>
      <c r="AAS317" s="100"/>
      <c r="AAT317" s="100"/>
      <c r="AAU317" s="100"/>
      <c r="AAV317" s="100"/>
      <c r="AAW317" s="100"/>
      <c r="AAX317" s="100"/>
      <c r="AAY317" s="100"/>
      <c r="AAZ317" s="100"/>
      <c r="ABA317" s="100"/>
      <c r="ABB317" s="100"/>
      <c r="ABC317" s="100"/>
      <c r="ABD317" s="100"/>
      <c r="ABE317" s="100"/>
      <c r="ABF317" s="100"/>
      <c r="ABG317" s="100"/>
      <c r="ABH317" s="100"/>
      <c r="ABI317" s="100"/>
      <c r="ABJ317" s="100"/>
      <c r="ABK317" s="100"/>
      <c r="ABL317" s="100"/>
      <c r="ABM317" s="100"/>
      <c r="ABN317" s="100"/>
      <c r="ABO317" s="100"/>
      <c r="ABP317" s="100"/>
      <c r="ABQ317" s="100"/>
      <c r="ABR317" s="100"/>
      <c r="ABS317" s="100"/>
      <c r="ABT317" s="100"/>
      <c r="ABU317" s="100"/>
      <c r="ABV317" s="100"/>
      <c r="ABW317" s="100"/>
      <c r="ABX317" s="100"/>
      <c r="ABY317" s="100"/>
      <c r="ABZ317" s="100"/>
      <c r="ACA317" s="100"/>
      <c r="ACB317" s="100"/>
      <c r="ACC317" s="100"/>
      <c r="ACD317" s="100"/>
      <c r="ACE317" s="100"/>
      <c r="ACF317" s="100"/>
      <c r="ACG317" s="100"/>
      <c r="ACH317" s="100"/>
      <c r="ACI317" s="100"/>
      <c r="ACJ317" s="100"/>
      <c r="ACK317" s="100"/>
      <c r="ACL317" s="100"/>
      <c r="ACM317" s="100"/>
      <c r="ACN317" s="100"/>
      <c r="ACO317" s="100"/>
      <c r="ACP317" s="100"/>
      <c r="ACQ317" s="100"/>
      <c r="ACR317" s="100"/>
      <c r="ACS317" s="100"/>
      <c r="ACT317" s="100"/>
      <c r="ACU317" s="100"/>
      <c r="ACV317" s="100"/>
      <c r="ACW317" s="100"/>
      <c r="ACX317" s="100"/>
      <c r="ACY317" s="100"/>
      <c r="ACZ317" s="100"/>
      <c r="ADA317" s="100"/>
      <c r="ADB317" s="100"/>
      <c r="ADC317" s="100"/>
      <c r="ADD317" s="100"/>
      <c r="ADE317" s="100"/>
      <c r="ADF317" s="100"/>
      <c r="ADG317" s="100"/>
      <c r="ADH317" s="100"/>
      <c r="ADI317" s="100"/>
      <c r="ADJ317" s="100"/>
      <c r="ADK317" s="100"/>
      <c r="ADL317" s="100"/>
      <c r="ADM317" s="100"/>
      <c r="ADN317" s="100"/>
      <c r="ADO317" s="100"/>
      <c r="ADP317" s="100"/>
      <c r="ADQ317" s="100"/>
      <c r="ADR317" s="100"/>
      <c r="ADS317" s="100"/>
      <c r="ADT317" s="100"/>
      <c r="ADU317" s="100"/>
      <c r="ADV317" s="100"/>
      <c r="ADW317" s="100"/>
      <c r="ADX317" s="100"/>
      <c r="ADY317" s="100"/>
      <c r="ADZ317" s="100"/>
      <c r="AEA317" s="100"/>
      <c r="AEB317" s="100"/>
      <c r="AEC317" s="100"/>
      <c r="AED317" s="100"/>
      <c r="AEE317" s="100"/>
      <c r="AEF317" s="100"/>
      <c r="AEG317" s="100"/>
      <c r="AEH317" s="100"/>
      <c r="AEI317" s="100"/>
      <c r="AEJ317" s="100"/>
      <c r="AEK317" s="100"/>
      <c r="AEL317" s="100"/>
      <c r="AEM317" s="100"/>
      <c r="AEN317" s="100"/>
      <c r="AEO317" s="100"/>
      <c r="AEP317" s="100"/>
      <c r="AEQ317" s="100"/>
      <c r="AER317" s="100"/>
      <c r="AES317" s="100"/>
      <c r="AET317" s="100"/>
      <c r="AEU317" s="100"/>
      <c r="AEV317" s="100"/>
      <c r="AEW317" s="100"/>
      <c r="AEX317" s="100"/>
      <c r="AEY317" s="100"/>
      <c r="AEZ317" s="100"/>
      <c r="AFA317" s="100"/>
      <c r="AFB317" s="100"/>
      <c r="AFC317" s="100"/>
      <c r="AFD317" s="100"/>
      <c r="AFE317" s="100"/>
      <c r="AFF317" s="100"/>
      <c r="AFG317" s="100"/>
      <c r="AFH317" s="100"/>
      <c r="AFI317" s="100"/>
      <c r="AFJ317" s="100"/>
      <c r="AFK317" s="100"/>
      <c r="AFL317" s="100"/>
      <c r="AFM317" s="100"/>
      <c r="AFN317" s="100"/>
      <c r="AFO317" s="100"/>
      <c r="AFP317" s="100"/>
      <c r="AFQ317" s="100"/>
      <c r="AFR317" s="100"/>
      <c r="AFS317" s="100"/>
      <c r="AFT317" s="100"/>
      <c r="AFU317" s="100"/>
      <c r="AFV317" s="100"/>
      <c r="AFW317" s="100"/>
      <c r="AFX317" s="100"/>
      <c r="AFY317" s="100"/>
      <c r="AFZ317" s="100"/>
      <c r="AGA317" s="100"/>
      <c r="AGB317" s="100"/>
      <c r="AGC317" s="100"/>
      <c r="AGD317" s="100"/>
      <c r="AGE317" s="100"/>
      <c r="AGF317" s="100"/>
      <c r="AGG317" s="100"/>
      <c r="AGH317" s="100"/>
      <c r="AGI317" s="100"/>
      <c r="AGJ317" s="100"/>
      <c r="AGK317" s="100"/>
      <c r="AGL317" s="100"/>
      <c r="AGM317" s="100"/>
      <c r="AGN317" s="100"/>
      <c r="AGO317" s="100"/>
      <c r="AGP317" s="100"/>
      <c r="AGQ317" s="100"/>
      <c r="AGR317" s="100"/>
      <c r="AGS317" s="100"/>
      <c r="AGT317" s="100"/>
      <c r="AGU317" s="100"/>
      <c r="AGV317" s="100"/>
      <c r="AGW317" s="100"/>
      <c r="AGX317" s="100"/>
      <c r="AGY317" s="100"/>
      <c r="AGZ317" s="100"/>
      <c r="AHA317" s="100"/>
      <c r="AHB317" s="100"/>
      <c r="AHC317" s="100"/>
      <c r="AHD317" s="100"/>
      <c r="AHE317" s="100"/>
      <c r="AHF317" s="100"/>
      <c r="AHG317" s="100"/>
      <c r="AHH317" s="100"/>
      <c r="AHI317" s="100"/>
      <c r="AHJ317" s="100"/>
      <c r="AHK317" s="100"/>
      <c r="AHL317" s="100"/>
      <c r="AHM317" s="100"/>
      <c r="AHN317" s="100"/>
      <c r="AHO317" s="100"/>
      <c r="AHP317" s="100"/>
      <c r="AHQ317" s="100"/>
      <c r="AHR317" s="100"/>
      <c r="AHS317" s="100"/>
      <c r="AHT317" s="100"/>
      <c r="AHU317" s="100"/>
      <c r="AHV317" s="100"/>
      <c r="AHW317" s="100"/>
      <c r="AHX317" s="100"/>
      <c r="AHY317" s="100"/>
      <c r="AHZ317" s="100"/>
      <c r="AIA317" s="100"/>
      <c r="AIB317" s="100"/>
      <c r="AIC317" s="100"/>
      <c r="AID317" s="100"/>
      <c r="AIE317" s="100"/>
      <c r="AIF317" s="100"/>
      <c r="AIG317" s="100"/>
      <c r="AIH317" s="100"/>
      <c r="AII317" s="100"/>
      <c r="AIJ317" s="100"/>
      <c r="AIK317" s="100"/>
      <c r="AIL317" s="100"/>
      <c r="AIM317" s="100"/>
      <c r="AIN317" s="100"/>
      <c r="AIO317" s="100"/>
      <c r="AIP317" s="100"/>
      <c r="AIQ317" s="100"/>
      <c r="AIR317" s="100"/>
      <c r="AIS317" s="100"/>
      <c r="AIT317" s="100"/>
      <c r="AIU317" s="100"/>
      <c r="AIV317" s="100"/>
      <c r="AIW317" s="100"/>
      <c r="AIX317" s="100"/>
      <c r="AIY317" s="100"/>
      <c r="AIZ317" s="100"/>
      <c r="AJA317" s="100"/>
      <c r="AJB317" s="100"/>
      <c r="AJC317" s="100"/>
      <c r="AJD317" s="100"/>
      <c r="AJE317" s="100"/>
      <c r="AJF317" s="100"/>
      <c r="AJG317" s="100"/>
      <c r="AJH317" s="100"/>
      <c r="AJI317" s="100"/>
      <c r="AJJ317" s="100"/>
      <c r="AJK317" s="100"/>
      <c r="AJL317" s="100"/>
      <c r="AJM317" s="100"/>
      <c r="AJN317" s="100"/>
      <c r="AJO317" s="100"/>
      <c r="AJP317" s="100"/>
      <c r="AJQ317" s="100"/>
      <c r="AJR317" s="100"/>
      <c r="AJS317" s="100"/>
      <c r="AJT317" s="100"/>
      <c r="AJU317" s="100"/>
      <c r="AJV317" s="100"/>
      <c r="AJW317" s="100"/>
      <c r="AJX317" s="100"/>
      <c r="AJY317" s="100"/>
      <c r="AJZ317" s="100"/>
      <c r="AKA317" s="100"/>
      <c r="AKB317" s="100"/>
      <c r="AKC317" s="100"/>
      <c r="AKD317" s="100"/>
      <c r="AKE317" s="100"/>
      <c r="AKF317" s="100"/>
      <c r="AKG317" s="100"/>
      <c r="AKH317" s="100"/>
      <c r="AKI317" s="100"/>
      <c r="AKJ317" s="100"/>
      <c r="AKK317" s="100"/>
      <c r="AKL317" s="100"/>
      <c r="AKM317" s="100"/>
      <c r="AKN317" s="100"/>
      <c r="AKO317" s="100"/>
      <c r="AKP317" s="100"/>
      <c r="AKQ317" s="100"/>
      <c r="AKR317" s="100"/>
      <c r="AKS317" s="100"/>
      <c r="AKT317" s="100"/>
      <c r="AKU317" s="100"/>
      <c r="AKV317" s="100"/>
      <c r="AKW317" s="100"/>
      <c r="AKX317" s="100"/>
      <c r="AKY317" s="100"/>
      <c r="AKZ317" s="100"/>
      <c r="ALA317" s="100"/>
      <c r="ALB317" s="100"/>
      <c r="ALC317" s="100"/>
      <c r="ALD317" s="100"/>
      <c r="ALE317" s="100"/>
      <c r="ALF317" s="100"/>
      <c r="ALG317" s="100"/>
      <c r="ALH317" s="100"/>
      <c r="ALI317" s="100"/>
      <c r="ALJ317" s="100"/>
      <c r="ALK317" s="100"/>
      <c r="ALL317" s="100"/>
      <c r="ALM317" s="100"/>
      <c r="ALN317" s="100"/>
      <c r="ALO317" s="100"/>
      <c r="ALP317" s="100"/>
      <c r="ALQ317" s="100"/>
      <c r="ALR317" s="100"/>
      <c r="ALS317" s="100"/>
      <c r="ALT317" s="100"/>
      <c r="ALU317" s="100"/>
      <c r="ALV317" s="100"/>
      <c r="ALW317" s="100"/>
      <c r="ALX317" s="100"/>
      <c r="ALY317" s="100"/>
      <c r="ALZ317" s="100"/>
      <c r="AMA317" s="100"/>
      <c r="AMB317" s="100"/>
      <c r="AMC317" s="100"/>
      <c r="AMD317" s="100"/>
    </row>
    <row r="318" spans="1:1018" s="127" customFormat="1" ht="11.25" customHeight="1" x14ac:dyDescent="0.15">
      <c r="A318" s="111"/>
      <c r="B318" s="126">
        <v>14</v>
      </c>
      <c r="C318" s="114">
        <v>311</v>
      </c>
      <c r="D318" s="115" t="s">
        <v>454</v>
      </c>
      <c r="E318" s="171">
        <v>2170</v>
      </c>
      <c r="F318" s="113">
        <f>ROUND(E318*Valores!$C$2,2)</f>
        <v>212239.02</v>
      </c>
      <c r="G318" s="169">
        <v>0</v>
      </c>
      <c r="H318" s="113">
        <f>ROUND(G318*Valores!$C$2,2)</f>
        <v>0</v>
      </c>
      <c r="I318" s="169">
        <v>0</v>
      </c>
      <c r="J318" s="113">
        <f>ROUND(I318*Valores!$C$2,2)</f>
        <v>0</v>
      </c>
      <c r="K318" s="169">
        <v>0</v>
      </c>
      <c r="L318" s="113">
        <f>ROUND(K318*Valores!$C$2,2)</f>
        <v>0</v>
      </c>
      <c r="M318" s="113">
        <f>ROUND(IF($H$2=0,IF(AND(A318&lt;&gt;"13-930",A318&lt;&gt;"13-940"),(SUM(F318,H318,J318,L318,W318,S318,Q318)*Valores!$C$4),0),0),2)</f>
        <v>59174.400000000001</v>
      </c>
      <c r="N318" s="113">
        <f t="shared" si="54"/>
        <v>0</v>
      </c>
      <c r="O318" s="113">
        <v>0</v>
      </c>
      <c r="P318" s="113">
        <v>0</v>
      </c>
      <c r="Q318" s="113">
        <f>IF($F$4="NO",IF(Valores!$C$28*B318&gt;Valores!$C$25,Valores!$C$25,Valores!$C$28*B318),IF(Valores!$C$28*B318&gt;Valores!$C$25,Valores!$C$25,Valores!$C$28*B318)/2)</f>
        <v>24458.559999999998</v>
      </c>
      <c r="R318" s="113">
        <v>0</v>
      </c>
      <c r="S318" s="113">
        <f t="shared" si="55"/>
        <v>0</v>
      </c>
      <c r="T318" s="113">
        <v>0</v>
      </c>
      <c r="U318" s="113">
        <v>0</v>
      </c>
      <c r="V318" s="169">
        <v>0</v>
      </c>
      <c r="W318" s="113">
        <f>ROUND(V318*Valores!$C$2,2)</f>
        <v>0</v>
      </c>
      <c r="X318" s="113">
        <v>0</v>
      </c>
      <c r="Y318" s="188">
        <v>0</v>
      </c>
      <c r="Z318" s="113">
        <v>0</v>
      </c>
      <c r="AA318" s="169">
        <v>0</v>
      </c>
      <c r="AB318" s="113">
        <f>ROUND(AA318*Valores!$C$2,2)</f>
        <v>0</v>
      </c>
      <c r="AC318" s="113"/>
      <c r="AD318" s="113">
        <f>SUM(F318,H318,J318,L318,M318,N318,O318,P318,Q318,S318,T318,U318,W318,X318,Z318,AB318,AC318)*Valores!$C$58</f>
        <v>29587.198</v>
      </c>
      <c r="AE318" s="113">
        <f t="shared" si="49"/>
        <v>325459.17799999996</v>
      </c>
      <c r="AF318" s="113">
        <v>0</v>
      </c>
      <c r="AG318" s="113">
        <f>AE318*Valores!$C$60*Valores!$C$61</f>
        <v>0</v>
      </c>
      <c r="AH318" s="113">
        <f t="shared" si="45"/>
        <v>0</v>
      </c>
      <c r="AI318" s="113">
        <f>AE318*Valores!$C$39</f>
        <v>-35800.509579999998</v>
      </c>
      <c r="AJ318" s="113">
        <f>IF(AE318&lt;Valores!$E$40,-0.02,IF(AE318&lt;Valores!$F$40,-0.03,-0.04))*AE318</f>
        <v>-6509.1835599999995</v>
      </c>
      <c r="AK318" s="113">
        <f>AE318*Valores!$C$42</f>
        <v>-17900.254789999999</v>
      </c>
      <c r="AL318" s="113">
        <v>0</v>
      </c>
      <c r="AM318" s="113">
        <v>0</v>
      </c>
      <c r="AN318" s="113">
        <f t="shared" si="50"/>
        <v>265249.23006999993</v>
      </c>
      <c r="AO318" s="113">
        <f t="shared" si="44"/>
        <v>-35800.509579999998</v>
      </c>
      <c r="AP318" s="113">
        <f t="shared" si="51"/>
        <v>-6509.1835599999995</v>
      </c>
      <c r="AQ318" s="113">
        <f>AE318*Valores!$C$43</f>
        <v>-8787.397805999999</v>
      </c>
      <c r="AR318" s="113">
        <f>AE318*Valores!$C$44</f>
        <v>-976.37753399999986</v>
      </c>
      <c r="AS318" s="113">
        <f t="shared" si="46"/>
        <v>273385.70951999997</v>
      </c>
      <c r="AT318" s="113">
        <f>AE318*Valores!$C$46</f>
        <v>52073.468479999996</v>
      </c>
      <c r="AU318" s="113">
        <f>AE318*Valores!$C$47</f>
        <v>22782.142459999999</v>
      </c>
      <c r="AV318" s="113">
        <f>AE318*Valores!$C$48</f>
        <v>3254.5917799999997</v>
      </c>
      <c r="AW318" s="113">
        <f>AE318*Valores!$C$50</f>
        <v>11391.07123</v>
      </c>
      <c r="AX318" s="113">
        <f>AE318*Valores!$C$52</f>
        <v>17574.795611999998</v>
      </c>
      <c r="AY318" s="113">
        <f>AE318*Valores!$C$51</f>
        <v>1952.7550679999997</v>
      </c>
      <c r="AZ318" s="114"/>
      <c r="BA318" s="114"/>
      <c r="BB318" s="111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  <c r="EO318" s="100"/>
      <c r="EP318" s="100"/>
      <c r="EQ318" s="100"/>
      <c r="ER318" s="100"/>
      <c r="ES318" s="100"/>
      <c r="ET318" s="100"/>
      <c r="EU318" s="100"/>
      <c r="EV318" s="100"/>
      <c r="EW318" s="100"/>
      <c r="EX318" s="100"/>
      <c r="EY318" s="100"/>
      <c r="EZ318" s="100"/>
      <c r="FA318" s="100"/>
      <c r="FB318" s="100"/>
      <c r="FC318" s="100"/>
      <c r="FD318" s="100"/>
      <c r="FE318" s="100"/>
      <c r="FF318" s="100"/>
      <c r="FG318" s="100"/>
      <c r="FH318" s="100"/>
      <c r="FI318" s="100"/>
      <c r="FJ318" s="100"/>
      <c r="FK318" s="100"/>
      <c r="FL318" s="100"/>
      <c r="FM318" s="100"/>
      <c r="FN318" s="100"/>
      <c r="FO318" s="100"/>
      <c r="FP318" s="100"/>
      <c r="FQ318" s="100"/>
      <c r="FR318" s="100"/>
      <c r="FS318" s="100"/>
      <c r="FT318" s="100"/>
      <c r="FU318" s="100"/>
      <c r="FV318" s="100"/>
      <c r="FW318" s="100"/>
      <c r="FX318" s="100"/>
      <c r="FY318" s="100"/>
      <c r="FZ318" s="100"/>
      <c r="GA318" s="100"/>
      <c r="GB318" s="100"/>
      <c r="GC318" s="100"/>
      <c r="GD318" s="100"/>
      <c r="GE318" s="100"/>
      <c r="GF318" s="100"/>
      <c r="GG318" s="100"/>
      <c r="GH318" s="100"/>
      <c r="GI318" s="100"/>
      <c r="GJ318" s="100"/>
      <c r="GK318" s="100"/>
      <c r="GL318" s="100"/>
      <c r="GM318" s="100"/>
      <c r="GN318" s="100"/>
      <c r="GO318" s="100"/>
      <c r="GP318" s="100"/>
      <c r="GQ318" s="100"/>
      <c r="GR318" s="100"/>
      <c r="GS318" s="100"/>
      <c r="GT318" s="100"/>
      <c r="GU318" s="100"/>
      <c r="GV318" s="100"/>
      <c r="GW318" s="100"/>
      <c r="GX318" s="100"/>
      <c r="GY318" s="100"/>
      <c r="GZ318" s="100"/>
      <c r="HA318" s="100"/>
      <c r="HB318" s="100"/>
      <c r="HC318" s="100"/>
      <c r="HD318" s="100"/>
      <c r="HE318" s="100"/>
      <c r="HF318" s="100"/>
      <c r="HG318" s="100"/>
      <c r="HH318" s="100"/>
      <c r="HI318" s="100"/>
      <c r="HJ318" s="100"/>
      <c r="HK318" s="100"/>
      <c r="HL318" s="100"/>
      <c r="HM318" s="100"/>
      <c r="HN318" s="100"/>
      <c r="HO318" s="100"/>
      <c r="HP318" s="100"/>
      <c r="HQ318" s="100"/>
      <c r="HR318" s="100"/>
      <c r="HS318" s="100"/>
      <c r="HT318" s="100"/>
      <c r="HU318" s="100"/>
      <c r="HV318" s="100"/>
      <c r="HW318" s="100"/>
      <c r="HX318" s="100"/>
      <c r="HY318" s="100"/>
      <c r="HZ318" s="100"/>
      <c r="IA318" s="100"/>
      <c r="IB318" s="100"/>
      <c r="IC318" s="100"/>
      <c r="ID318" s="100"/>
      <c r="IE318" s="100"/>
      <c r="IF318" s="100"/>
      <c r="IG318" s="100"/>
      <c r="IH318" s="100"/>
      <c r="II318" s="100"/>
      <c r="IJ318" s="100"/>
      <c r="IK318" s="100"/>
      <c r="IL318" s="100"/>
      <c r="IM318" s="100"/>
      <c r="IN318" s="100"/>
      <c r="IO318" s="100"/>
      <c r="IP318" s="100"/>
      <c r="IQ318" s="100"/>
      <c r="IR318" s="100"/>
      <c r="IS318" s="100"/>
      <c r="IT318" s="100"/>
      <c r="IU318" s="100"/>
      <c r="IV318" s="100"/>
      <c r="IW318" s="100"/>
      <c r="IX318" s="100"/>
      <c r="IY318" s="100"/>
      <c r="IZ318" s="100"/>
      <c r="JA318" s="100"/>
      <c r="JB318" s="100"/>
      <c r="JC318" s="100"/>
      <c r="JD318" s="100"/>
      <c r="JE318" s="100"/>
      <c r="JF318" s="100"/>
      <c r="JG318" s="100"/>
      <c r="JH318" s="100"/>
      <c r="JI318" s="100"/>
      <c r="JJ318" s="100"/>
      <c r="JK318" s="100"/>
      <c r="JL318" s="100"/>
      <c r="JM318" s="100"/>
      <c r="JN318" s="100"/>
      <c r="JO318" s="100"/>
      <c r="JP318" s="100"/>
      <c r="JQ318" s="100"/>
      <c r="JR318" s="100"/>
      <c r="JS318" s="100"/>
      <c r="JT318" s="100"/>
      <c r="JU318" s="100"/>
      <c r="JV318" s="100"/>
      <c r="JW318" s="100"/>
      <c r="JX318" s="100"/>
      <c r="JY318" s="100"/>
      <c r="JZ318" s="100"/>
      <c r="KA318" s="100"/>
      <c r="KB318" s="100"/>
      <c r="KC318" s="100"/>
      <c r="KD318" s="100"/>
      <c r="KE318" s="100"/>
      <c r="KF318" s="100"/>
      <c r="KG318" s="100"/>
      <c r="KH318" s="100"/>
      <c r="KI318" s="100"/>
      <c r="KJ318" s="100"/>
      <c r="KK318" s="100"/>
      <c r="KL318" s="100"/>
      <c r="KM318" s="100"/>
      <c r="KN318" s="100"/>
      <c r="KO318" s="100"/>
      <c r="KP318" s="100"/>
      <c r="KQ318" s="100"/>
      <c r="KR318" s="100"/>
      <c r="KS318" s="100"/>
      <c r="KT318" s="100"/>
      <c r="KU318" s="100"/>
      <c r="KV318" s="100"/>
      <c r="KW318" s="100"/>
      <c r="KX318" s="100"/>
      <c r="KY318" s="100"/>
      <c r="KZ318" s="100"/>
      <c r="LA318" s="100"/>
      <c r="LB318" s="100"/>
      <c r="LC318" s="100"/>
      <c r="LD318" s="100"/>
      <c r="LE318" s="100"/>
      <c r="LF318" s="100"/>
      <c r="LG318" s="100"/>
      <c r="LH318" s="100"/>
      <c r="LI318" s="100"/>
      <c r="LJ318" s="100"/>
      <c r="LK318" s="100"/>
      <c r="LL318" s="100"/>
      <c r="LM318" s="100"/>
      <c r="LN318" s="100"/>
      <c r="LO318" s="100"/>
      <c r="LP318" s="100"/>
      <c r="LQ318" s="100"/>
      <c r="LR318" s="100"/>
      <c r="LS318" s="100"/>
      <c r="LT318" s="100"/>
      <c r="LU318" s="100"/>
      <c r="LV318" s="100"/>
      <c r="LW318" s="100"/>
      <c r="LX318" s="100"/>
      <c r="LY318" s="100"/>
      <c r="LZ318" s="100"/>
      <c r="MA318" s="100"/>
      <c r="MB318" s="100"/>
      <c r="MC318" s="100"/>
      <c r="MD318" s="100"/>
      <c r="ME318" s="100"/>
      <c r="MF318" s="100"/>
      <c r="MG318" s="100"/>
      <c r="MH318" s="100"/>
      <c r="MI318" s="100"/>
      <c r="MJ318" s="100"/>
      <c r="MK318" s="100"/>
      <c r="ML318" s="100"/>
      <c r="MM318" s="100"/>
      <c r="MN318" s="100"/>
      <c r="MO318" s="100"/>
      <c r="MP318" s="100"/>
      <c r="MQ318" s="100"/>
      <c r="MR318" s="100"/>
      <c r="MS318" s="100"/>
      <c r="MT318" s="100"/>
      <c r="MU318" s="100"/>
      <c r="MV318" s="100"/>
      <c r="MW318" s="100"/>
      <c r="MX318" s="100"/>
      <c r="MY318" s="100"/>
      <c r="MZ318" s="100"/>
      <c r="NA318" s="100"/>
      <c r="NB318" s="100"/>
      <c r="NC318" s="100"/>
      <c r="ND318" s="100"/>
      <c r="NE318" s="100"/>
      <c r="NF318" s="100"/>
      <c r="NG318" s="100"/>
      <c r="NH318" s="100"/>
      <c r="NI318" s="100"/>
      <c r="NJ318" s="100"/>
      <c r="NK318" s="100"/>
      <c r="NL318" s="100"/>
      <c r="NM318" s="100"/>
      <c r="NN318" s="100"/>
      <c r="NO318" s="100"/>
      <c r="NP318" s="100"/>
      <c r="NQ318" s="100"/>
      <c r="NR318" s="100"/>
      <c r="NS318" s="100"/>
      <c r="NT318" s="100"/>
      <c r="NU318" s="100"/>
      <c r="NV318" s="100"/>
      <c r="NW318" s="100"/>
      <c r="NX318" s="100"/>
      <c r="NY318" s="100"/>
      <c r="NZ318" s="100"/>
      <c r="OA318" s="100"/>
      <c r="OB318" s="100"/>
      <c r="OC318" s="100"/>
      <c r="OD318" s="100"/>
      <c r="OE318" s="100"/>
      <c r="OF318" s="100"/>
      <c r="OG318" s="100"/>
      <c r="OH318" s="100"/>
      <c r="OI318" s="100"/>
      <c r="OJ318" s="100"/>
      <c r="OK318" s="100"/>
      <c r="OL318" s="100"/>
      <c r="OM318" s="100"/>
      <c r="ON318" s="100"/>
      <c r="OO318" s="100"/>
      <c r="OP318" s="100"/>
      <c r="OQ318" s="100"/>
      <c r="OR318" s="100"/>
      <c r="OS318" s="100"/>
      <c r="OT318" s="100"/>
      <c r="OU318" s="100"/>
      <c r="OV318" s="100"/>
      <c r="OW318" s="100"/>
      <c r="OX318" s="100"/>
      <c r="OY318" s="100"/>
      <c r="OZ318" s="100"/>
      <c r="PA318" s="100"/>
      <c r="PB318" s="100"/>
      <c r="PC318" s="100"/>
      <c r="PD318" s="100"/>
      <c r="PE318" s="100"/>
      <c r="PF318" s="100"/>
      <c r="PG318" s="100"/>
      <c r="PH318" s="100"/>
      <c r="PI318" s="100"/>
      <c r="PJ318" s="100"/>
      <c r="PK318" s="100"/>
      <c r="PL318" s="100"/>
      <c r="PM318" s="100"/>
      <c r="PN318" s="100"/>
      <c r="PO318" s="100"/>
      <c r="PP318" s="100"/>
      <c r="PQ318" s="100"/>
      <c r="PR318" s="100"/>
      <c r="PS318" s="100"/>
      <c r="PT318" s="100"/>
      <c r="PU318" s="100"/>
      <c r="PV318" s="100"/>
      <c r="PW318" s="100"/>
      <c r="PX318" s="100"/>
      <c r="PY318" s="100"/>
      <c r="PZ318" s="100"/>
      <c r="QA318" s="100"/>
      <c r="QB318" s="100"/>
      <c r="QC318" s="100"/>
      <c r="QD318" s="100"/>
      <c r="QE318" s="100"/>
      <c r="QF318" s="100"/>
      <c r="QG318" s="100"/>
      <c r="QH318" s="100"/>
      <c r="QI318" s="100"/>
      <c r="QJ318" s="100"/>
      <c r="QK318" s="100"/>
      <c r="QL318" s="100"/>
      <c r="QM318" s="100"/>
      <c r="QN318" s="100"/>
      <c r="QO318" s="100"/>
      <c r="QP318" s="100"/>
      <c r="QQ318" s="100"/>
      <c r="QR318" s="100"/>
      <c r="QS318" s="100"/>
      <c r="QT318" s="100"/>
      <c r="QU318" s="100"/>
      <c r="QV318" s="100"/>
      <c r="QW318" s="100"/>
      <c r="QX318" s="100"/>
      <c r="QY318" s="100"/>
      <c r="QZ318" s="100"/>
      <c r="RA318" s="100"/>
      <c r="RB318" s="100"/>
      <c r="RC318" s="100"/>
      <c r="RD318" s="100"/>
      <c r="RE318" s="100"/>
      <c r="RF318" s="100"/>
      <c r="RG318" s="100"/>
      <c r="RH318" s="100"/>
      <c r="RI318" s="100"/>
      <c r="RJ318" s="100"/>
      <c r="RK318" s="100"/>
      <c r="RL318" s="100"/>
      <c r="RM318" s="100"/>
      <c r="RN318" s="100"/>
      <c r="RO318" s="100"/>
      <c r="RP318" s="100"/>
      <c r="RQ318" s="100"/>
      <c r="RR318" s="100"/>
      <c r="RS318" s="100"/>
      <c r="RT318" s="100"/>
      <c r="RU318" s="100"/>
      <c r="RV318" s="100"/>
      <c r="RW318" s="100"/>
      <c r="RX318" s="100"/>
      <c r="RY318" s="100"/>
      <c r="RZ318" s="100"/>
      <c r="SA318" s="100"/>
      <c r="SB318" s="100"/>
      <c r="SC318" s="100"/>
      <c r="SD318" s="100"/>
      <c r="SE318" s="100"/>
      <c r="SF318" s="100"/>
      <c r="SG318" s="100"/>
      <c r="SH318" s="100"/>
      <c r="SI318" s="100"/>
      <c r="SJ318" s="100"/>
      <c r="SK318" s="100"/>
      <c r="SL318" s="100"/>
      <c r="SM318" s="100"/>
      <c r="SN318" s="100"/>
      <c r="SO318" s="100"/>
      <c r="SP318" s="100"/>
      <c r="SQ318" s="100"/>
      <c r="SR318" s="100"/>
      <c r="SS318" s="100"/>
      <c r="ST318" s="100"/>
      <c r="SU318" s="100"/>
      <c r="SV318" s="100"/>
      <c r="SW318" s="100"/>
      <c r="SX318" s="100"/>
      <c r="SY318" s="100"/>
      <c r="SZ318" s="100"/>
      <c r="TA318" s="100"/>
      <c r="TB318" s="100"/>
      <c r="TC318" s="100"/>
      <c r="TD318" s="100"/>
      <c r="TE318" s="100"/>
      <c r="TF318" s="100"/>
      <c r="TG318" s="100"/>
      <c r="TH318" s="100"/>
      <c r="TI318" s="100"/>
      <c r="TJ318" s="100"/>
      <c r="TK318" s="100"/>
      <c r="TL318" s="100"/>
      <c r="TM318" s="100"/>
      <c r="TN318" s="100"/>
      <c r="TO318" s="100"/>
      <c r="TP318" s="100"/>
      <c r="TQ318" s="100"/>
      <c r="TR318" s="100"/>
      <c r="TS318" s="100"/>
      <c r="TT318" s="100"/>
      <c r="TU318" s="100"/>
      <c r="TV318" s="100"/>
      <c r="TW318" s="100"/>
      <c r="TX318" s="100"/>
      <c r="TY318" s="100"/>
      <c r="TZ318" s="100"/>
      <c r="UA318" s="100"/>
      <c r="UB318" s="100"/>
      <c r="UC318" s="100"/>
      <c r="UD318" s="100"/>
      <c r="UE318" s="100"/>
      <c r="UF318" s="100"/>
      <c r="UG318" s="100"/>
      <c r="UH318" s="100"/>
      <c r="UI318" s="100"/>
      <c r="UJ318" s="100"/>
      <c r="UK318" s="100"/>
      <c r="UL318" s="100"/>
      <c r="UM318" s="100"/>
      <c r="UN318" s="100"/>
      <c r="UO318" s="100"/>
      <c r="UP318" s="100"/>
      <c r="UQ318" s="100"/>
      <c r="UR318" s="100"/>
      <c r="US318" s="100"/>
      <c r="UT318" s="100"/>
      <c r="UU318" s="100"/>
      <c r="UV318" s="100"/>
      <c r="UW318" s="100"/>
      <c r="UX318" s="100"/>
      <c r="UY318" s="100"/>
      <c r="UZ318" s="100"/>
      <c r="VA318" s="100"/>
      <c r="VB318" s="100"/>
      <c r="VC318" s="100"/>
      <c r="VD318" s="100"/>
      <c r="VE318" s="100"/>
      <c r="VF318" s="100"/>
      <c r="VG318" s="100"/>
      <c r="VH318" s="100"/>
      <c r="VI318" s="100"/>
      <c r="VJ318" s="100"/>
      <c r="VK318" s="100"/>
      <c r="VL318" s="100"/>
      <c r="VM318" s="100"/>
      <c r="VN318" s="100"/>
      <c r="VO318" s="100"/>
      <c r="VP318" s="100"/>
      <c r="VQ318" s="100"/>
      <c r="VR318" s="100"/>
      <c r="VS318" s="100"/>
      <c r="VT318" s="100"/>
      <c r="VU318" s="100"/>
      <c r="VV318" s="100"/>
      <c r="VW318" s="100"/>
      <c r="VX318" s="100"/>
      <c r="VY318" s="100"/>
      <c r="VZ318" s="100"/>
      <c r="WA318" s="100"/>
      <c r="WB318" s="100"/>
      <c r="WC318" s="100"/>
      <c r="WD318" s="100"/>
      <c r="WE318" s="100"/>
      <c r="WF318" s="100"/>
      <c r="WG318" s="100"/>
      <c r="WH318" s="100"/>
      <c r="WI318" s="100"/>
      <c r="WJ318" s="100"/>
      <c r="WK318" s="100"/>
      <c r="WL318" s="100"/>
      <c r="WM318" s="100"/>
      <c r="WN318" s="100"/>
      <c r="WO318" s="100"/>
      <c r="WP318" s="100"/>
      <c r="WQ318" s="100"/>
      <c r="WR318" s="100"/>
      <c r="WS318" s="100"/>
      <c r="WT318" s="100"/>
      <c r="WU318" s="100"/>
      <c r="WV318" s="100"/>
      <c r="WW318" s="100"/>
      <c r="WX318" s="100"/>
      <c r="WY318" s="100"/>
      <c r="WZ318" s="100"/>
      <c r="XA318" s="100"/>
      <c r="XB318" s="100"/>
      <c r="XC318" s="100"/>
      <c r="XD318" s="100"/>
      <c r="XE318" s="100"/>
      <c r="XF318" s="100"/>
      <c r="XG318" s="100"/>
      <c r="XH318" s="100"/>
      <c r="XI318" s="100"/>
      <c r="XJ318" s="100"/>
      <c r="XK318" s="100"/>
      <c r="XL318" s="100"/>
      <c r="XM318" s="100"/>
      <c r="XN318" s="100"/>
      <c r="XO318" s="100"/>
      <c r="XP318" s="100"/>
      <c r="XQ318" s="100"/>
      <c r="XR318" s="100"/>
      <c r="XS318" s="100"/>
      <c r="XT318" s="100"/>
      <c r="XU318" s="100"/>
      <c r="XV318" s="100"/>
      <c r="XW318" s="100"/>
      <c r="XX318" s="100"/>
      <c r="XY318" s="100"/>
      <c r="XZ318" s="100"/>
      <c r="YA318" s="100"/>
      <c r="YB318" s="100"/>
      <c r="YC318" s="100"/>
      <c r="YD318" s="100"/>
      <c r="YE318" s="100"/>
      <c r="YF318" s="100"/>
      <c r="YG318" s="100"/>
      <c r="YH318" s="100"/>
      <c r="YI318" s="100"/>
      <c r="YJ318" s="100"/>
      <c r="YK318" s="100"/>
      <c r="YL318" s="100"/>
      <c r="YM318" s="100"/>
      <c r="YN318" s="100"/>
      <c r="YO318" s="100"/>
      <c r="YP318" s="100"/>
      <c r="YQ318" s="100"/>
      <c r="YR318" s="100"/>
      <c r="YS318" s="100"/>
      <c r="YT318" s="100"/>
      <c r="YU318" s="100"/>
      <c r="YV318" s="100"/>
      <c r="YW318" s="100"/>
      <c r="YX318" s="100"/>
      <c r="YY318" s="100"/>
      <c r="YZ318" s="100"/>
      <c r="ZA318" s="100"/>
      <c r="ZB318" s="100"/>
      <c r="ZC318" s="100"/>
      <c r="ZD318" s="100"/>
      <c r="ZE318" s="100"/>
      <c r="ZF318" s="100"/>
      <c r="ZG318" s="100"/>
      <c r="ZH318" s="100"/>
      <c r="ZI318" s="100"/>
      <c r="ZJ318" s="100"/>
      <c r="ZK318" s="100"/>
      <c r="ZL318" s="100"/>
      <c r="ZM318" s="100"/>
      <c r="ZN318" s="100"/>
      <c r="ZO318" s="100"/>
      <c r="ZP318" s="100"/>
      <c r="ZQ318" s="100"/>
      <c r="ZR318" s="100"/>
      <c r="ZS318" s="100"/>
      <c r="ZT318" s="100"/>
      <c r="ZU318" s="100"/>
      <c r="ZV318" s="100"/>
      <c r="ZW318" s="100"/>
      <c r="ZX318" s="100"/>
      <c r="ZY318" s="100"/>
      <c r="ZZ318" s="100"/>
      <c r="AAA318" s="100"/>
      <c r="AAB318" s="100"/>
      <c r="AAC318" s="100"/>
      <c r="AAD318" s="100"/>
      <c r="AAE318" s="100"/>
      <c r="AAF318" s="100"/>
      <c r="AAG318" s="100"/>
      <c r="AAH318" s="100"/>
      <c r="AAI318" s="100"/>
      <c r="AAJ318" s="100"/>
      <c r="AAK318" s="100"/>
      <c r="AAL318" s="100"/>
      <c r="AAM318" s="100"/>
      <c r="AAN318" s="100"/>
      <c r="AAO318" s="100"/>
      <c r="AAP318" s="100"/>
      <c r="AAQ318" s="100"/>
      <c r="AAR318" s="100"/>
      <c r="AAS318" s="100"/>
      <c r="AAT318" s="100"/>
      <c r="AAU318" s="100"/>
      <c r="AAV318" s="100"/>
      <c r="AAW318" s="100"/>
      <c r="AAX318" s="100"/>
      <c r="AAY318" s="100"/>
      <c r="AAZ318" s="100"/>
      <c r="ABA318" s="100"/>
      <c r="ABB318" s="100"/>
      <c r="ABC318" s="100"/>
      <c r="ABD318" s="100"/>
      <c r="ABE318" s="100"/>
      <c r="ABF318" s="100"/>
      <c r="ABG318" s="100"/>
      <c r="ABH318" s="100"/>
      <c r="ABI318" s="100"/>
      <c r="ABJ318" s="100"/>
      <c r="ABK318" s="100"/>
      <c r="ABL318" s="100"/>
      <c r="ABM318" s="100"/>
      <c r="ABN318" s="100"/>
      <c r="ABO318" s="100"/>
      <c r="ABP318" s="100"/>
      <c r="ABQ318" s="100"/>
      <c r="ABR318" s="100"/>
      <c r="ABS318" s="100"/>
      <c r="ABT318" s="100"/>
      <c r="ABU318" s="100"/>
      <c r="ABV318" s="100"/>
      <c r="ABW318" s="100"/>
      <c r="ABX318" s="100"/>
      <c r="ABY318" s="100"/>
      <c r="ABZ318" s="100"/>
      <c r="ACA318" s="100"/>
      <c r="ACB318" s="100"/>
      <c r="ACC318" s="100"/>
      <c r="ACD318" s="100"/>
      <c r="ACE318" s="100"/>
      <c r="ACF318" s="100"/>
      <c r="ACG318" s="100"/>
      <c r="ACH318" s="100"/>
      <c r="ACI318" s="100"/>
      <c r="ACJ318" s="100"/>
      <c r="ACK318" s="100"/>
      <c r="ACL318" s="100"/>
      <c r="ACM318" s="100"/>
      <c r="ACN318" s="100"/>
      <c r="ACO318" s="100"/>
      <c r="ACP318" s="100"/>
      <c r="ACQ318" s="100"/>
      <c r="ACR318" s="100"/>
      <c r="ACS318" s="100"/>
      <c r="ACT318" s="100"/>
      <c r="ACU318" s="100"/>
      <c r="ACV318" s="100"/>
      <c r="ACW318" s="100"/>
      <c r="ACX318" s="100"/>
      <c r="ACY318" s="100"/>
      <c r="ACZ318" s="100"/>
      <c r="ADA318" s="100"/>
      <c r="ADB318" s="100"/>
      <c r="ADC318" s="100"/>
      <c r="ADD318" s="100"/>
      <c r="ADE318" s="100"/>
      <c r="ADF318" s="100"/>
      <c r="ADG318" s="100"/>
      <c r="ADH318" s="100"/>
      <c r="ADI318" s="100"/>
      <c r="ADJ318" s="100"/>
      <c r="ADK318" s="100"/>
      <c r="ADL318" s="100"/>
      <c r="ADM318" s="100"/>
      <c r="ADN318" s="100"/>
      <c r="ADO318" s="100"/>
      <c r="ADP318" s="100"/>
      <c r="ADQ318" s="100"/>
      <c r="ADR318" s="100"/>
      <c r="ADS318" s="100"/>
      <c r="ADT318" s="100"/>
      <c r="ADU318" s="100"/>
      <c r="ADV318" s="100"/>
      <c r="ADW318" s="100"/>
      <c r="ADX318" s="100"/>
      <c r="ADY318" s="100"/>
      <c r="ADZ318" s="100"/>
      <c r="AEA318" s="100"/>
      <c r="AEB318" s="100"/>
      <c r="AEC318" s="100"/>
      <c r="AED318" s="100"/>
      <c r="AEE318" s="100"/>
      <c r="AEF318" s="100"/>
      <c r="AEG318" s="100"/>
      <c r="AEH318" s="100"/>
      <c r="AEI318" s="100"/>
      <c r="AEJ318" s="100"/>
      <c r="AEK318" s="100"/>
      <c r="AEL318" s="100"/>
      <c r="AEM318" s="100"/>
      <c r="AEN318" s="100"/>
      <c r="AEO318" s="100"/>
      <c r="AEP318" s="100"/>
      <c r="AEQ318" s="100"/>
      <c r="AER318" s="100"/>
      <c r="AES318" s="100"/>
      <c r="AET318" s="100"/>
      <c r="AEU318" s="100"/>
      <c r="AEV318" s="100"/>
      <c r="AEW318" s="100"/>
      <c r="AEX318" s="100"/>
      <c r="AEY318" s="100"/>
      <c r="AEZ318" s="100"/>
      <c r="AFA318" s="100"/>
      <c r="AFB318" s="100"/>
      <c r="AFC318" s="100"/>
      <c r="AFD318" s="100"/>
      <c r="AFE318" s="100"/>
      <c r="AFF318" s="100"/>
      <c r="AFG318" s="100"/>
      <c r="AFH318" s="100"/>
      <c r="AFI318" s="100"/>
      <c r="AFJ318" s="100"/>
      <c r="AFK318" s="100"/>
      <c r="AFL318" s="100"/>
      <c r="AFM318" s="100"/>
      <c r="AFN318" s="100"/>
      <c r="AFO318" s="100"/>
      <c r="AFP318" s="100"/>
      <c r="AFQ318" s="100"/>
      <c r="AFR318" s="100"/>
      <c r="AFS318" s="100"/>
      <c r="AFT318" s="100"/>
      <c r="AFU318" s="100"/>
      <c r="AFV318" s="100"/>
      <c r="AFW318" s="100"/>
      <c r="AFX318" s="100"/>
      <c r="AFY318" s="100"/>
      <c r="AFZ318" s="100"/>
      <c r="AGA318" s="100"/>
      <c r="AGB318" s="100"/>
      <c r="AGC318" s="100"/>
      <c r="AGD318" s="100"/>
      <c r="AGE318" s="100"/>
      <c r="AGF318" s="100"/>
      <c r="AGG318" s="100"/>
      <c r="AGH318" s="100"/>
      <c r="AGI318" s="100"/>
      <c r="AGJ318" s="100"/>
      <c r="AGK318" s="100"/>
      <c r="AGL318" s="100"/>
      <c r="AGM318" s="100"/>
      <c r="AGN318" s="100"/>
      <c r="AGO318" s="100"/>
      <c r="AGP318" s="100"/>
      <c r="AGQ318" s="100"/>
      <c r="AGR318" s="100"/>
      <c r="AGS318" s="100"/>
      <c r="AGT318" s="100"/>
      <c r="AGU318" s="100"/>
      <c r="AGV318" s="100"/>
      <c r="AGW318" s="100"/>
      <c r="AGX318" s="100"/>
      <c r="AGY318" s="100"/>
      <c r="AGZ318" s="100"/>
      <c r="AHA318" s="100"/>
      <c r="AHB318" s="100"/>
      <c r="AHC318" s="100"/>
      <c r="AHD318" s="100"/>
      <c r="AHE318" s="100"/>
      <c r="AHF318" s="100"/>
      <c r="AHG318" s="100"/>
      <c r="AHH318" s="100"/>
      <c r="AHI318" s="100"/>
      <c r="AHJ318" s="100"/>
      <c r="AHK318" s="100"/>
      <c r="AHL318" s="100"/>
      <c r="AHM318" s="100"/>
      <c r="AHN318" s="100"/>
      <c r="AHO318" s="100"/>
      <c r="AHP318" s="100"/>
      <c r="AHQ318" s="100"/>
      <c r="AHR318" s="100"/>
      <c r="AHS318" s="100"/>
      <c r="AHT318" s="100"/>
      <c r="AHU318" s="100"/>
      <c r="AHV318" s="100"/>
      <c r="AHW318" s="100"/>
      <c r="AHX318" s="100"/>
      <c r="AHY318" s="100"/>
      <c r="AHZ318" s="100"/>
      <c r="AIA318" s="100"/>
      <c r="AIB318" s="100"/>
      <c r="AIC318" s="100"/>
      <c r="AID318" s="100"/>
      <c r="AIE318" s="100"/>
      <c r="AIF318" s="100"/>
      <c r="AIG318" s="100"/>
      <c r="AIH318" s="100"/>
      <c r="AII318" s="100"/>
      <c r="AIJ318" s="100"/>
      <c r="AIK318" s="100"/>
      <c r="AIL318" s="100"/>
      <c r="AIM318" s="100"/>
      <c r="AIN318" s="100"/>
      <c r="AIO318" s="100"/>
      <c r="AIP318" s="100"/>
      <c r="AIQ318" s="100"/>
      <c r="AIR318" s="100"/>
      <c r="AIS318" s="100"/>
      <c r="AIT318" s="100"/>
      <c r="AIU318" s="100"/>
      <c r="AIV318" s="100"/>
      <c r="AIW318" s="100"/>
      <c r="AIX318" s="100"/>
      <c r="AIY318" s="100"/>
      <c r="AIZ318" s="100"/>
      <c r="AJA318" s="100"/>
      <c r="AJB318" s="100"/>
      <c r="AJC318" s="100"/>
      <c r="AJD318" s="100"/>
      <c r="AJE318" s="100"/>
      <c r="AJF318" s="100"/>
      <c r="AJG318" s="100"/>
      <c r="AJH318" s="100"/>
      <c r="AJI318" s="100"/>
      <c r="AJJ318" s="100"/>
      <c r="AJK318" s="100"/>
      <c r="AJL318" s="100"/>
      <c r="AJM318" s="100"/>
      <c r="AJN318" s="100"/>
      <c r="AJO318" s="100"/>
      <c r="AJP318" s="100"/>
      <c r="AJQ318" s="100"/>
      <c r="AJR318" s="100"/>
      <c r="AJS318" s="100"/>
      <c r="AJT318" s="100"/>
      <c r="AJU318" s="100"/>
      <c r="AJV318" s="100"/>
      <c r="AJW318" s="100"/>
      <c r="AJX318" s="100"/>
      <c r="AJY318" s="100"/>
      <c r="AJZ318" s="100"/>
      <c r="AKA318" s="100"/>
      <c r="AKB318" s="100"/>
      <c r="AKC318" s="100"/>
      <c r="AKD318" s="100"/>
      <c r="AKE318" s="100"/>
      <c r="AKF318" s="100"/>
      <c r="AKG318" s="100"/>
      <c r="AKH318" s="100"/>
      <c r="AKI318" s="100"/>
      <c r="AKJ318" s="100"/>
      <c r="AKK318" s="100"/>
      <c r="AKL318" s="100"/>
      <c r="AKM318" s="100"/>
      <c r="AKN318" s="100"/>
      <c r="AKO318" s="100"/>
      <c r="AKP318" s="100"/>
      <c r="AKQ318" s="100"/>
      <c r="AKR318" s="100"/>
      <c r="AKS318" s="100"/>
      <c r="AKT318" s="100"/>
      <c r="AKU318" s="100"/>
      <c r="AKV318" s="100"/>
      <c r="AKW318" s="100"/>
      <c r="AKX318" s="100"/>
      <c r="AKY318" s="100"/>
      <c r="AKZ318" s="100"/>
      <c r="ALA318" s="100"/>
      <c r="ALB318" s="100"/>
      <c r="ALC318" s="100"/>
      <c r="ALD318" s="100"/>
      <c r="ALE318" s="100"/>
      <c r="ALF318" s="100"/>
      <c r="ALG318" s="100"/>
      <c r="ALH318" s="100"/>
      <c r="ALI318" s="100"/>
      <c r="ALJ318" s="100"/>
      <c r="ALK318" s="100"/>
      <c r="ALL318" s="100"/>
      <c r="ALM318" s="100"/>
      <c r="ALN318" s="100"/>
      <c r="ALO318" s="100"/>
      <c r="ALP318" s="100"/>
      <c r="ALQ318" s="100"/>
      <c r="ALR318" s="100"/>
      <c r="ALS318" s="100"/>
      <c r="ALT318" s="100"/>
      <c r="ALU318" s="100"/>
      <c r="ALV318" s="100"/>
      <c r="ALW318" s="100"/>
      <c r="ALX318" s="100"/>
      <c r="ALY318" s="100"/>
      <c r="ALZ318" s="100"/>
      <c r="AMA318" s="100"/>
      <c r="AMB318" s="100"/>
      <c r="AMC318" s="100"/>
      <c r="AMD318" s="100"/>
    </row>
    <row r="319" spans="1:1018" s="127" customFormat="1" ht="11.25" customHeight="1" x14ac:dyDescent="0.15">
      <c r="A319" s="111"/>
      <c r="B319" s="126">
        <v>15</v>
      </c>
      <c r="C319" s="114">
        <v>312</v>
      </c>
      <c r="D319" s="115" t="s">
        <v>455</v>
      </c>
      <c r="E319" s="171">
        <v>2325</v>
      </c>
      <c r="F319" s="113">
        <f>ROUND(E319*Valores!$C$2,2)</f>
        <v>227398.95</v>
      </c>
      <c r="G319" s="169">
        <v>0</v>
      </c>
      <c r="H319" s="113">
        <f>ROUND(G319*Valores!$C$2,2)</f>
        <v>0</v>
      </c>
      <c r="I319" s="169">
        <v>0</v>
      </c>
      <c r="J319" s="113">
        <f>ROUND(I319*Valores!$C$2,2)</f>
        <v>0</v>
      </c>
      <c r="K319" s="169">
        <v>0</v>
      </c>
      <c r="L319" s="113">
        <f>ROUND(K319*Valores!$C$2,2)</f>
        <v>0</v>
      </c>
      <c r="M319" s="113">
        <f>ROUND(IF($H$2=0,IF(AND(A319&lt;&gt;"13-930",A319&lt;&gt;"13-940"),(SUM(F319,H319,J319,L319,W319,S319,Q319)*Valores!$C$4),0),0),2)</f>
        <v>63401.14</v>
      </c>
      <c r="N319" s="113">
        <f t="shared" si="54"/>
        <v>0</v>
      </c>
      <c r="O319" s="113">
        <v>0</v>
      </c>
      <c r="P319" s="113">
        <v>0</v>
      </c>
      <c r="Q319" s="113">
        <f>IF($F$4="NO",IF(Valores!$C$28*B319&gt;Valores!$C$25,Valores!$C$25,Valores!$C$28*B319),IF(Valores!$C$28*B319&gt;Valores!$C$25,Valores!$C$25,Valores!$C$28*B319)/2)</f>
        <v>26205.599999999999</v>
      </c>
      <c r="R319" s="113">
        <v>0</v>
      </c>
      <c r="S319" s="113">
        <f t="shared" si="55"/>
        <v>0</v>
      </c>
      <c r="T319" s="113">
        <v>0</v>
      </c>
      <c r="U319" s="113">
        <v>0</v>
      </c>
      <c r="V319" s="169">
        <v>0</v>
      </c>
      <c r="W319" s="113">
        <f>ROUND(V319*Valores!$C$2,2)</f>
        <v>0</v>
      </c>
      <c r="X319" s="113">
        <v>0</v>
      </c>
      <c r="Y319" s="188">
        <v>0</v>
      </c>
      <c r="Z319" s="113">
        <v>0</v>
      </c>
      <c r="AA319" s="169">
        <v>0</v>
      </c>
      <c r="AB319" s="113">
        <f>ROUND(AA319*Valores!$C$2,2)</f>
        <v>0</v>
      </c>
      <c r="AC319" s="113"/>
      <c r="AD319" s="113">
        <f>SUM(F319,H319,J319,L319,M319,N319,O319,P319,Q319,S319,T319,U319,W319,X319,Z319,AB319,AC319)*Valores!$C$58</f>
        <v>31700.569000000003</v>
      </c>
      <c r="AE319" s="113">
        <f t="shared" si="49"/>
        <v>348706.25900000002</v>
      </c>
      <c r="AF319" s="113">
        <v>0</v>
      </c>
      <c r="AG319" s="113">
        <f>AE319*Valores!$C$60*Valores!$C$61</f>
        <v>0</v>
      </c>
      <c r="AH319" s="113">
        <f t="shared" si="45"/>
        <v>0</v>
      </c>
      <c r="AI319" s="113">
        <f>AE319*Valores!$C$39</f>
        <v>-38357.68849</v>
      </c>
      <c r="AJ319" s="113">
        <f>IF(AE319&lt;Valores!$E$40,-0.02,IF(AE319&lt;Valores!$F$40,-0.03,-0.04))*AE319</f>
        <v>-6974.1251800000009</v>
      </c>
      <c r="AK319" s="113">
        <f>AE319*Valores!$C$42</f>
        <v>-19178.844245</v>
      </c>
      <c r="AL319" s="113">
        <v>0</v>
      </c>
      <c r="AM319" s="113">
        <v>0</v>
      </c>
      <c r="AN319" s="113">
        <f t="shared" si="50"/>
        <v>284195.60108500003</v>
      </c>
      <c r="AO319" s="113">
        <f t="shared" si="44"/>
        <v>-38357.68849</v>
      </c>
      <c r="AP319" s="113">
        <f t="shared" si="51"/>
        <v>-6974.1251800000009</v>
      </c>
      <c r="AQ319" s="113">
        <f>AE319*Valores!$C$43</f>
        <v>-9415.0689930000008</v>
      </c>
      <c r="AR319" s="113">
        <f>AE319*Valores!$C$44</f>
        <v>-1046.1187770000001</v>
      </c>
      <c r="AS319" s="113">
        <f t="shared" si="46"/>
        <v>292913.25756</v>
      </c>
      <c r="AT319" s="113">
        <f>AE319*Valores!$C$46</f>
        <v>55793.001440000007</v>
      </c>
      <c r="AU319" s="113">
        <f>AE319*Valores!$C$47</f>
        <v>24409.438130000002</v>
      </c>
      <c r="AV319" s="113">
        <f>AE319*Valores!$C$48</f>
        <v>3487.0625900000005</v>
      </c>
      <c r="AW319" s="113">
        <f>AE319*Valores!$C$50</f>
        <v>12204.719065000001</v>
      </c>
      <c r="AX319" s="113">
        <f>AE319*Valores!$C$52</f>
        <v>18830.137986000002</v>
      </c>
      <c r="AY319" s="113">
        <f>AE319*Valores!$C$51</f>
        <v>2092.2375540000003</v>
      </c>
      <c r="AZ319" s="114"/>
      <c r="BA319" s="114"/>
      <c r="BB319" s="111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  <c r="EO319" s="100"/>
      <c r="EP319" s="100"/>
      <c r="EQ319" s="100"/>
      <c r="ER319" s="100"/>
      <c r="ES319" s="100"/>
      <c r="ET319" s="100"/>
      <c r="EU319" s="100"/>
      <c r="EV319" s="100"/>
      <c r="EW319" s="100"/>
      <c r="EX319" s="100"/>
      <c r="EY319" s="100"/>
      <c r="EZ319" s="100"/>
      <c r="FA319" s="100"/>
      <c r="FB319" s="100"/>
      <c r="FC319" s="100"/>
      <c r="FD319" s="100"/>
      <c r="FE319" s="100"/>
      <c r="FF319" s="100"/>
      <c r="FG319" s="100"/>
      <c r="FH319" s="100"/>
      <c r="FI319" s="100"/>
      <c r="FJ319" s="100"/>
      <c r="FK319" s="100"/>
      <c r="FL319" s="100"/>
      <c r="FM319" s="100"/>
      <c r="FN319" s="100"/>
      <c r="FO319" s="100"/>
      <c r="FP319" s="100"/>
      <c r="FQ319" s="100"/>
      <c r="FR319" s="100"/>
      <c r="FS319" s="100"/>
      <c r="FT319" s="100"/>
      <c r="FU319" s="100"/>
      <c r="FV319" s="100"/>
      <c r="FW319" s="100"/>
      <c r="FX319" s="100"/>
      <c r="FY319" s="100"/>
      <c r="FZ319" s="100"/>
      <c r="GA319" s="100"/>
      <c r="GB319" s="100"/>
      <c r="GC319" s="100"/>
      <c r="GD319" s="100"/>
      <c r="GE319" s="100"/>
      <c r="GF319" s="100"/>
      <c r="GG319" s="100"/>
      <c r="GH319" s="100"/>
      <c r="GI319" s="100"/>
      <c r="GJ319" s="100"/>
      <c r="GK319" s="100"/>
      <c r="GL319" s="100"/>
      <c r="GM319" s="100"/>
      <c r="GN319" s="100"/>
      <c r="GO319" s="100"/>
      <c r="GP319" s="100"/>
      <c r="GQ319" s="100"/>
      <c r="GR319" s="100"/>
      <c r="GS319" s="100"/>
      <c r="GT319" s="100"/>
      <c r="GU319" s="100"/>
      <c r="GV319" s="100"/>
      <c r="GW319" s="100"/>
      <c r="GX319" s="100"/>
      <c r="GY319" s="100"/>
      <c r="GZ319" s="100"/>
      <c r="HA319" s="100"/>
      <c r="HB319" s="100"/>
      <c r="HC319" s="100"/>
      <c r="HD319" s="100"/>
      <c r="HE319" s="100"/>
      <c r="HF319" s="100"/>
      <c r="HG319" s="100"/>
      <c r="HH319" s="100"/>
      <c r="HI319" s="100"/>
      <c r="HJ319" s="100"/>
      <c r="HK319" s="100"/>
      <c r="HL319" s="100"/>
      <c r="HM319" s="100"/>
      <c r="HN319" s="100"/>
      <c r="HO319" s="100"/>
      <c r="HP319" s="100"/>
      <c r="HQ319" s="100"/>
      <c r="HR319" s="100"/>
      <c r="HS319" s="100"/>
      <c r="HT319" s="100"/>
      <c r="HU319" s="100"/>
      <c r="HV319" s="100"/>
      <c r="HW319" s="100"/>
      <c r="HX319" s="100"/>
      <c r="HY319" s="100"/>
      <c r="HZ319" s="100"/>
      <c r="IA319" s="100"/>
      <c r="IB319" s="100"/>
      <c r="IC319" s="100"/>
      <c r="ID319" s="100"/>
      <c r="IE319" s="100"/>
      <c r="IF319" s="100"/>
      <c r="IG319" s="100"/>
      <c r="IH319" s="100"/>
      <c r="II319" s="100"/>
      <c r="IJ319" s="100"/>
      <c r="IK319" s="100"/>
      <c r="IL319" s="100"/>
      <c r="IM319" s="100"/>
      <c r="IN319" s="100"/>
      <c r="IO319" s="100"/>
      <c r="IP319" s="100"/>
      <c r="IQ319" s="100"/>
      <c r="IR319" s="100"/>
      <c r="IS319" s="100"/>
      <c r="IT319" s="100"/>
      <c r="IU319" s="100"/>
      <c r="IV319" s="100"/>
      <c r="IW319" s="100"/>
      <c r="IX319" s="100"/>
      <c r="IY319" s="100"/>
      <c r="IZ319" s="100"/>
      <c r="JA319" s="100"/>
      <c r="JB319" s="100"/>
      <c r="JC319" s="100"/>
      <c r="JD319" s="100"/>
      <c r="JE319" s="100"/>
      <c r="JF319" s="100"/>
      <c r="JG319" s="100"/>
      <c r="JH319" s="100"/>
      <c r="JI319" s="100"/>
      <c r="JJ319" s="100"/>
      <c r="JK319" s="100"/>
      <c r="JL319" s="100"/>
      <c r="JM319" s="100"/>
      <c r="JN319" s="100"/>
      <c r="JO319" s="100"/>
      <c r="JP319" s="100"/>
      <c r="JQ319" s="100"/>
      <c r="JR319" s="100"/>
      <c r="JS319" s="100"/>
      <c r="JT319" s="100"/>
      <c r="JU319" s="100"/>
      <c r="JV319" s="100"/>
      <c r="JW319" s="100"/>
      <c r="JX319" s="100"/>
      <c r="JY319" s="100"/>
      <c r="JZ319" s="100"/>
      <c r="KA319" s="100"/>
      <c r="KB319" s="100"/>
      <c r="KC319" s="100"/>
      <c r="KD319" s="100"/>
      <c r="KE319" s="100"/>
      <c r="KF319" s="100"/>
      <c r="KG319" s="100"/>
      <c r="KH319" s="100"/>
      <c r="KI319" s="100"/>
      <c r="KJ319" s="100"/>
      <c r="KK319" s="100"/>
      <c r="KL319" s="100"/>
      <c r="KM319" s="100"/>
      <c r="KN319" s="100"/>
      <c r="KO319" s="100"/>
      <c r="KP319" s="100"/>
      <c r="KQ319" s="100"/>
      <c r="KR319" s="100"/>
      <c r="KS319" s="100"/>
      <c r="KT319" s="100"/>
      <c r="KU319" s="100"/>
      <c r="KV319" s="100"/>
      <c r="KW319" s="100"/>
      <c r="KX319" s="100"/>
      <c r="KY319" s="100"/>
      <c r="KZ319" s="100"/>
      <c r="LA319" s="100"/>
      <c r="LB319" s="100"/>
      <c r="LC319" s="100"/>
      <c r="LD319" s="100"/>
      <c r="LE319" s="100"/>
      <c r="LF319" s="100"/>
      <c r="LG319" s="100"/>
      <c r="LH319" s="100"/>
      <c r="LI319" s="100"/>
      <c r="LJ319" s="100"/>
      <c r="LK319" s="100"/>
      <c r="LL319" s="100"/>
      <c r="LM319" s="100"/>
      <c r="LN319" s="100"/>
      <c r="LO319" s="100"/>
      <c r="LP319" s="100"/>
      <c r="LQ319" s="100"/>
      <c r="LR319" s="100"/>
      <c r="LS319" s="100"/>
      <c r="LT319" s="100"/>
      <c r="LU319" s="100"/>
      <c r="LV319" s="100"/>
      <c r="LW319" s="100"/>
      <c r="LX319" s="100"/>
      <c r="LY319" s="100"/>
      <c r="LZ319" s="100"/>
      <c r="MA319" s="100"/>
      <c r="MB319" s="100"/>
      <c r="MC319" s="100"/>
      <c r="MD319" s="100"/>
      <c r="ME319" s="100"/>
      <c r="MF319" s="100"/>
      <c r="MG319" s="100"/>
      <c r="MH319" s="100"/>
      <c r="MI319" s="100"/>
      <c r="MJ319" s="100"/>
      <c r="MK319" s="100"/>
      <c r="ML319" s="100"/>
      <c r="MM319" s="100"/>
      <c r="MN319" s="100"/>
      <c r="MO319" s="100"/>
      <c r="MP319" s="100"/>
      <c r="MQ319" s="100"/>
      <c r="MR319" s="100"/>
      <c r="MS319" s="100"/>
      <c r="MT319" s="100"/>
      <c r="MU319" s="100"/>
      <c r="MV319" s="100"/>
      <c r="MW319" s="100"/>
      <c r="MX319" s="100"/>
      <c r="MY319" s="100"/>
      <c r="MZ319" s="100"/>
      <c r="NA319" s="100"/>
      <c r="NB319" s="100"/>
      <c r="NC319" s="100"/>
      <c r="ND319" s="100"/>
      <c r="NE319" s="100"/>
      <c r="NF319" s="100"/>
      <c r="NG319" s="100"/>
      <c r="NH319" s="100"/>
      <c r="NI319" s="100"/>
      <c r="NJ319" s="100"/>
      <c r="NK319" s="100"/>
      <c r="NL319" s="100"/>
      <c r="NM319" s="100"/>
      <c r="NN319" s="100"/>
      <c r="NO319" s="100"/>
      <c r="NP319" s="100"/>
      <c r="NQ319" s="100"/>
      <c r="NR319" s="100"/>
      <c r="NS319" s="100"/>
      <c r="NT319" s="100"/>
      <c r="NU319" s="100"/>
      <c r="NV319" s="100"/>
      <c r="NW319" s="100"/>
      <c r="NX319" s="100"/>
      <c r="NY319" s="100"/>
      <c r="NZ319" s="100"/>
      <c r="OA319" s="100"/>
      <c r="OB319" s="100"/>
      <c r="OC319" s="100"/>
      <c r="OD319" s="100"/>
      <c r="OE319" s="100"/>
      <c r="OF319" s="100"/>
      <c r="OG319" s="100"/>
      <c r="OH319" s="100"/>
      <c r="OI319" s="100"/>
      <c r="OJ319" s="100"/>
      <c r="OK319" s="100"/>
      <c r="OL319" s="100"/>
      <c r="OM319" s="100"/>
      <c r="ON319" s="100"/>
      <c r="OO319" s="100"/>
      <c r="OP319" s="100"/>
      <c r="OQ319" s="100"/>
      <c r="OR319" s="100"/>
      <c r="OS319" s="100"/>
      <c r="OT319" s="100"/>
      <c r="OU319" s="100"/>
      <c r="OV319" s="100"/>
      <c r="OW319" s="100"/>
      <c r="OX319" s="100"/>
      <c r="OY319" s="100"/>
      <c r="OZ319" s="100"/>
      <c r="PA319" s="100"/>
      <c r="PB319" s="100"/>
      <c r="PC319" s="100"/>
      <c r="PD319" s="100"/>
      <c r="PE319" s="100"/>
      <c r="PF319" s="100"/>
      <c r="PG319" s="100"/>
      <c r="PH319" s="100"/>
      <c r="PI319" s="100"/>
      <c r="PJ319" s="100"/>
      <c r="PK319" s="100"/>
      <c r="PL319" s="100"/>
      <c r="PM319" s="100"/>
      <c r="PN319" s="100"/>
      <c r="PO319" s="100"/>
      <c r="PP319" s="100"/>
      <c r="PQ319" s="100"/>
      <c r="PR319" s="100"/>
      <c r="PS319" s="100"/>
      <c r="PT319" s="100"/>
      <c r="PU319" s="100"/>
      <c r="PV319" s="100"/>
      <c r="PW319" s="100"/>
      <c r="PX319" s="100"/>
      <c r="PY319" s="100"/>
      <c r="PZ319" s="100"/>
      <c r="QA319" s="100"/>
      <c r="QB319" s="100"/>
      <c r="QC319" s="100"/>
      <c r="QD319" s="100"/>
      <c r="QE319" s="100"/>
      <c r="QF319" s="100"/>
      <c r="QG319" s="100"/>
      <c r="QH319" s="100"/>
      <c r="QI319" s="100"/>
      <c r="QJ319" s="100"/>
      <c r="QK319" s="100"/>
      <c r="QL319" s="100"/>
      <c r="QM319" s="100"/>
      <c r="QN319" s="100"/>
      <c r="QO319" s="100"/>
      <c r="QP319" s="100"/>
      <c r="QQ319" s="100"/>
      <c r="QR319" s="100"/>
      <c r="QS319" s="100"/>
      <c r="QT319" s="100"/>
      <c r="QU319" s="100"/>
      <c r="QV319" s="100"/>
      <c r="QW319" s="100"/>
      <c r="QX319" s="100"/>
      <c r="QY319" s="100"/>
      <c r="QZ319" s="100"/>
      <c r="RA319" s="100"/>
      <c r="RB319" s="100"/>
      <c r="RC319" s="100"/>
      <c r="RD319" s="100"/>
      <c r="RE319" s="100"/>
      <c r="RF319" s="100"/>
      <c r="RG319" s="100"/>
      <c r="RH319" s="100"/>
      <c r="RI319" s="100"/>
      <c r="RJ319" s="100"/>
      <c r="RK319" s="100"/>
      <c r="RL319" s="100"/>
      <c r="RM319" s="100"/>
      <c r="RN319" s="100"/>
      <c r="RO319" s="100"/>
      <c r="RP319" s="100"/>
      <c r="RQ319" s="100"/>
      <c r="RR319" s="100"/>
      <c r="RS319" s="100"/>
      <c r="RT319" s="100"/>
      <c r="RU319" s="100"/>
      <c r="RV319" s="100"/>
      <c r="RW319" s="100"/>
      <c r="RX319" s="100"/>
      <c r="RY319" s="100"/>
      <c r="RZ319" s="100"/>
      <c r="SA319" s="100"/>
      <c r="SB319" s="100"/>
      <c r="SC319" s="100"/>
      <c r="SD319" s="100"/>
      <c r="SE319" s="100"/>
      <c r="SF319" s="100"/>
      <c r="SG319" s="100"/>
      <c r="SH319" s="100"/>
      <c r="SI319" s="100"/>
      <c r="SJ319" s="100"/>
      <c r="SK319" s="100"/>
      <c r="SL319" s="100"/>
      <c r="SM319" s="100"/>
      <c r="SN319" s="100"/>
      <c r="SO319" s="100"/>
      <c r="SP319" s="100"/>
      <c r="SQ319" s="100"/>
      <c r="SR319" s="100"/>
      <c r="SS319" s="100"/>
      <c r="ST319" s="100"/>
      <c r="SU319" s="100"/>
      <c r="SV319" s="100"/>
      <c r="SW319" s="100"/>
      <c r="SX319" s="100"/>
      <c r="SY319" s="100"/>
      <c r="SZ319" s="100"/>
      <c r="TA319" s="100"/>
      <c r="TB319" s="100"/>
      <c r="TC319" s="100"/>
      <c r="TD319" s="100"/>
      <c r="TE319" s="100"/>
      <c r="TF319" s="100"/>
      <c r="TG319" s="100"/>
      <c r="TH319" s="100"/>
      <c r="TI319" s="100"/>
      <c r="TJ319" s="100"/>
      <c r="TK319" s="100"/>
      <c r="TL319" s="100"/>
      <c r="TM319" s="100"/>
      <c r="TN319" s="100"/>
      <c r="TO319" s="100"/>
      <c r="TP319" s="100"/>
      <c r="TQ319" s="100"/>
      <c r="TR319" s="100"/>
      <c r="TS319" s="100"/>
      <c r="TT319" s="100"/>
      <c r="TU319" s="100"/>
      <c r="TV319" s="100"/>
      <c r="TW319" s="100"/>
      <c r="TX319" s="100"/>
      <c r="TY319" s="100"/>
      <c r="TZ319" s="100"/>
      <c r="UA319" s="100"/>
      <c r="UB319" s="100"/>
      <c r="UC319" s="100"/>
      <c r="UD319" s="100"/>
      <c r="UE319" s="100"/>
      <c r="UF319" s="100"/>
      <c r="UG319" s="100"/>
      <c r="UH319" s="100"/>
      <c r="UI319" s="100"/>
      <c r="UJ319" s="100"/>
      <c r="UK319" s="100"/>
      <c r="UL319" s="100"/>
      <c r="UM319" s="100"/>
      <c r="UN319" s="100"/>
      <c r="UO319" s="100"/>
      <c r="UP319" s="100"/>
      <c r="UQ319" s="100"/>
      <c r="UR319" s="100"/>
      <c r="US319" s="100"/>
      <c r="UT319" s="100"/>
      <c r="UU319" s="100"/>
      <c r="UV319" s="100"/>
      <c r="UW319" s="100"/>
      <c r="UX319" s="100"/>
      <c r="UY319" s="100"/>
      <c r="UZ319" s="100"/>
      <c r="VA319" s="100"/>
      <c r="VB319" s="100"/>
      <c r="VC319" s="100"/>
      <c r="VD319" s="100"/>
      <c r="VE319" s="100"/>
      <c r="VF319" s="100"/>
      <c r="VG319" s="100"/>
      <c r="VH319" s="100"/>
      <c r="VI319" s="100"/>
      <c r="VJ319" s="100"/>
      <c r="VK319" s="100"/>
      <c r="VL319" s="100"/>
      <c r="VM319" s="100"/>
      <c r="VN319" s="100"/>
      <c r="VO319" s="100"/>
      <c r="VP319" s="100"/>
      <c r="VQ319" s="100"/>
      <c r="VR319" s="100"/>
      <c r="VS319" s="100"/>
      <c r="VT319" s="100"/>
      <c r="VU319" s="100"/>
      <c r="VV319" s="100"/>
      <c r="VW319" s="100"/>
      <c r="VX319" s="100"/>
      <c r="VY319" s="100"/>
      <c r="VZ319" s="100"/>
      <c r="WA319" s="100"/>
      <c r="WB319" s="100"/>
      <c r="WC319" s="100"/>
      <c r="WD319" s="100"/>
      <c r="WE319" s="100"/>
      <c r="WF319" s="100"/>
      <c r="WG319" s="100"/>
      <c r="WH319" s="100"/>
      <c r="WI319" s="100"/>
      <c r="WJ319" s="100"/>
      <c r="WK319" s="100"/>
      <c r="WL319" s="100"/>
      <c r="WM319" s="100"/>
      <c r="WN319" s="100"/>
      <c r="WO319" s="100"/>
      <c r="WP319" s="100"/>
      <c r="WQ319" s="100"/>
      <c r="WR319" s="100"/>
      <c r="WS319" s="100"/>
      <c r="WT319" s="100"/>
      <c r="WU319" s="100"/>
      <c r="WV319" s="100"/>
      <c r="WW319" s="100"/>
      <c r="WX319" s="100"/>
      <c r="WY319" s="100"/>
      <c r="WZ319" s="100"/>
      <c r="XA319" s="100"/>
      <c r="XB319" s="100"/>
      <c r="XC319" s="100"/>
      <c r="XD319" s="100"/>
      <c r="XE319" s="100"/>
      <c r="XF319" s="100"/>
      <c r="XG319" s="100"/>
      <c r="XH319" s="100"/>
      <c r="XI319" s="100"/>
      <c r="XJ319" s="100"/>
      <c r="XK319" s="100"/>
      <c r="XL319" s="100"/>
      <c r="XM319" s="100"/>
      <c r="XN319" s="100"/>
      <c r="XO319" s="100"/>
      <c r="XP319" s="100"/>
      <c r="XQ319" s="100"/>
      <c r="XR319" s="100"/>
      <c r="XS319" s="100"/>
      <c r="XT319" s="100"/>
      <c r="XU319" s="100"/>
      <c r="XV319" s="100"/>
      <c r="XW319" s="100"/>
      <c r="XX319" s="100"/>
      <c r="XY319" s="100"/>
      <c r="XZ319" s="100"/>
      <c r="YA319" s="100"/>
      <c r="YB319" s="100"/>
      <c r="YC319" s="100"/>
      <c r="YD319" s="100"/>
      <c r="YE319" s="100"/>
      <c r="YF319" s="100"/>
      <c r="YG319" s="100"/>
      <c r="YH319" s="100"/>
      <c r="YI319" s="100"/>
      <c r="YJ319" s="100"/>
      <c r="YK319" s="100"/>
      <c r="YL319" s="100"/>
      <c r="YM319" s="100"/>
      <c r="YN319" s="100"/>
      <c r="YO319" s="100"/>
      <c r="YP319" s="100"/>
      <c r="YQ319" s="100"/>
      <c r="YR319" s="100"/>
      <c r="YS319" s="100"/>
      <c r="YT319" s="100"/>
      <c r="YU319" s="100"/>
      <c r="YV319" s="100"/>
      <c r="YW319" s="100"/>
      <c r="YX319" s="100"/>
      <c r="YY319" s="100"/>
      <c r="YZ319" s="100"/>
      <c r="ZA319" s="100"/>
      <c r="ZB319" s="100"/>
      <c r="ZC319" s="100"/>
      <c r="ZD319" s="100"/>
      <c r="ZE319" s="100"/>
      <c r="ZF319" s="100"/>
      <c r="ZG319" s="100"/>
      <c r="ZH319" s="100"/>
      <c r="ZI319" s="100"/>
      <c r="ZJ319" s="100"/>
      <c r="ZK319" s="100"/>
      <c r="ZL319" s="100"/>
      <c r="ZM319" s="100"/>
      <c r="ZN319" s="100"/>
      <c r="ZO319" s="100"/>
      <c r="ZP319" s="100"/>
      <c r="ZQ319" s="100"/>
      <c r="ZR319" s="100"/>
      <c r="ZS319" s="100"/>
      <c r="ZT319" s="100"/>
      <c r="ZU319" s="100"/>
      <c r="ZV319" s="100"/>
      <c r="ZW319" s="100"/>
      <c r="ZX319" s="100"/>
      <c r="ZY319" s="100"/>
      <c r="ZZ319" s="100"/>
      <c r="AAA319" s="100"/>
      <c r="AAB319" s="100"/>
      <c r="AAC319" s="100"/>
      <c r="AAD319" s="100"/>
      <c r="AAE319" s="100"/>
      <c r="AAF319" s="100"/>
      <c r="AAG319" s="100"/>
      <c r="AAH319" s="100"/>
      <c r="AAI319" s="100"/>
      <c r="AAJ319" s="100"/>
      <c r="AAK319" s="100"/>
      <c r="AAL319" s="100"/>
      <c r="AAM319" s="100"/>
      <c r="AAN319" s="100"/>
      <c r="AAO319" s="100"/>
      <c r="AAP319" s="100"/>
      <c r="AAQ319" s="100"/>
      <c r="AAR319" s="100"/>
      <c r="AAS319" s="100"/>
      <c r="AAT319" s="100"/>
      <c r="AAU319" s="100"/>
      <c r="AAV319" s="100"/>
      <c r="AAW319" s="100"/>
      <c r="AAX319" s="100"/>
      <c r="AAY319" s="100"/>
      <c r="AAZ319" s="100"/>
      <c r="ABA319" s="100"/>
      <c r="ABB319" s="100"/>
      <c r="ABC319" s="100"/>
      <c r="ABD319" s="100"/>
      <c r="ABE319" s="100"/>
      <c r="ABF319" s="100"/>
      <c r="ABG319" s="100"/>
      <c r="ABH319" s="100"/>
      <c r="ABI319" s="100"/>
      <c r="ABJ319" s="100"/>
      <c r="ABK319" s="100"/>
      <c r="ABL319" s="100"/>
      <c r="ABM319" s="100"/>
      <c r="ABN319" s="100"/>
      <c r="ABO319" s="100"/>
      <c r="ABP319" s="100"/>
      <c r="ABQ319" s="100"/>
      <c r="ABR319" s="100"/>
      <c r="ABS319" s="100"/>
      <c r="ABT319" s="100"/>
      <c r="ABU319" s="100"/>
      <c r="ABV319" s="100"/>
      <c r="ABW319" s="100"/>
      <c r="ABX319" s="100"/>
      <c r="ABY319" s="100"/>
      <c r="ABZ319" s="100"/>
      <c r="ACA319" s="100"/>
      <c r="ACB319" s="100"/>
      <c r="ACC319" s="100"/>
      <c r="ACD319" s="100"/>
      <c r="ACE319" s="100"/>
      <c r="ACF319" s="100"/>
      <c r="ACG319" s="100"/>
      <c r="ACH319" s="100"/>
      <c r="ACI319" s="100"/>
      <c r="ACJ319" s="100"/>
      <c r="ACK319" s="100"/>
      <c r="ACL319" s="100"/>
      <c r="ACM319" s="100"/>
      <c r="ACN319" s="100"/>
      <c r="ACO319" s="100"/>
      <c r="ACP319" s="100"/>
      <c r="ACQ319" s="100"/>
      <c r="ACR319" s="100"/>
      <c r="ACS319" s="100"/>
      <c r="ACT319" s="100"/>
      <c r="ACU319" s="100"/>
      <c r="ACV319" s="100"/>
      <c r="ACW319" s="100"/>
      <c r="ACX319" s="100"/>
      <c r="ACY319" s="100"/>
      <c r="ACZ319" s="100"/>
      <c r="ADA319" s="100"/>
      <c r="ADB319" s="100"/>
      <c r="ADC319" s="100"/>
      <c r="ADD319" s="100"/>
      <c r="ADE319" s="100"/>
      <c r="ADF319" s="100"/>
      <c r="ADG319" s="100"/>
      <c r="ADH319" s="100"/>
      <c r="ADI319" s="100"/>
      <c r="ADJ319" s="100"/>
      <c r="ADK319" s="100"/>
      <c r="ADL319" s="100"/>
      <c r="ADM319" s="100"/>
      <c r="ADN319" s="100"/>
      <c r="ADO319" s="100"/>
      <c r="ADP319" s="100"/>
      <c r="ADQ319" s="100"/>
      <c r="ADR319" s="100"/>
      <c r="ADS319" s="100"/>
      <c r="ADT319" s="100"/>
      <c r="ADU319" s="100"/>
      <c r="ADV319" s="100"/>
      <c r="ADW319" s="100"/>
      <c r="ADX319" s="100"/>
      <c r="ADY319" s="100"/>
      <c r="ADZ319" s="100"/>
      <c r="AEA319" s="100"/>
      <c r="AEB319" s="100"/>
      <c r="AEC319" s="100"/>
      <c r="AED319" s="100"/>
      <c r="AEE319" s="100"/>
      <c r="AEF319" s="100"/>
      <c r="AEG319" s="100"/>
      <c r="AEH319" s="100"/>
      <c r="AEI319" s="100"/>
      <c r="AEJ319" s="100"/>
      <c r="AEK319" s="100"/>
      <c r="AEL319" s="100"/>
      <c r="AEM319" s="100"/>
      <c r="AEN319" s="100"/>
      <c r="AEO319" s="100"/>
      <c r="AEP319" s="100"/>
      <c r="AEQ319" s="100"/>
      <c r="AER319" s="100"/>
      <c r="AES319" s="100"/>
      <c r="AET319" s="100"/>
      <c r="AEU319" s="100"/>
      <c r="AEV319" s="100"/>
      <c r="AEW319" s="100"/>
      <c r="AEX319" s="100"/>
      <c r="AEY319" s="100"/>
      <c r="AEZ319" s="100"/>
      <c r="AFA319" s="100"/>
      <c r="AFB319" s="100"/>
      <c r="AFC319" s="100"/>
      <c r="AFD319" s="100"/>
      <c r="AFE319" s="100"/>
      <c r="AFF319" s="100"/>
      <c r="AFG319" s="100"/>
      <c r="AFH319" s="100"/>
      <c r="AFI319" s="100"/>
      <c r="AFJ319" s="100"/>
      <c r="AFK319" s="100"/>
      <c r="AFL319" s="100"/>
      <c r="AFM319" s="100"/>
      <c r="AFN319" s="100"/>
      <c r="AFO319" s="100"/>
      <c r="AFP319" s="100"/>
      <c r="AFQ319" s="100"/>
      <c r="AFR319" s="100"/>
      <c r="AFS319" s="100"/>
      <c r="AFT319" s="100"/>
      <c r="AFU319" s="100"/>
      <c r="AFV319" s="100"/>
      <c r="AFW319" s="100"/>
      <c r="AFX319" s="100"/>
      <c r="AFY319" s="100"/>
      <c r="AFZ319" s="100"/>
      <c r="AGA319" s="100"/>
      <c r="AGB319" s="100"/>
      <c r="AGC319" s="100"/>
      <c r="AGD319" s="100"/>
      <c r="AGE319" s="100"/>
      <c r="AGF319" s="100"/>
      <c r="AGG319" s="100"/>
      <c r="AGH319" s="100"/>
      <c r="AGI319" s="100"/>
      <c r="AGJ319" s="100"/>
      <c r="AGK319" s="100"/>
      <c r="AGL319" s="100"/>
      <c r="AGM319" s="100"/>
      <c r="AGN319" s="100"/>
      <c r="AGO319" s="100"/>
      <c r="AGP319" s="100"/>
      <c r="AGQ319" s="100"/>
      <c r="AGR319" s="100"/>
      <c r="AGS319" s="100"/>
      <c r="AGT319" s="100"/>
      <c r="AGU319" s="100"/>
      <c r="AGV319" s="100"/>
      <c r="AGW319" s="100"/>
      <c r="AGX319" s="100"/>
      <c r="AGY319" s="100"/>
      <c r="AGZ319" s="100"/>
      <c r="AHA319" s="100"/>
      <c r="AHB319" s="100"/>
      <c r="AHC319" s="100"/>
      <c r="AHD319" s="100"/>
      <c r="AHE319" s="100"/>
      <c r="AHF319" s="100"/>
      <c r="AHG319" s="100"/>
      <c r="AHH319" s="100"/>
      <c r="AHI319" s="100"/>
      <c r="AHJ319" s="100"/>
      <c r="AHK319" s="100"/>
      <c r="AHL319" s="100"/>
      <c r="AHM319" s="100"/>
      <c r="AHN319" s="100"/>
      <c r="AHO319" s="100"/>
      <c r="AHP319" s="100"/>
      <c r="AHQ319" s="100"/>
      <c r="AHR319" s="100"/>
      <c r="AHS319" s="100"/>
      <c r="AHT319" s="100"/>
      <c r="AHU319" s="100"/>
      <c r="AHV319" s="100"/>
      <c r="AHW319" s="100"/>
      <c r="AHX319" s="100"/>
      <c r="AHY319" s="100"/>
      <c r="AHZ319" s="100"/>
      <c r="AIA319" s="100"/>
      <c r="AIB319" s="100"/>
      <c r="AIC319" s="100"/>
      <c r="AID319" s="100"/>
      <c r="AIE319" s="100"/>
      <c r="AIF319" s="100"/>
      <c r="AIG319" s="100"/>
      <c r="AIH319" s="100"/>
      <c r="AII319" s="100"/>
      <c r="AIJ319" s="100"/>
      <c r="AIK319" s="100"/>
      <c r="AIL319" s="100"/>
      <c r="AIM319" s="100"/>
      <c r="AIN319" s="100"/>
      <c r="AIO319" s="100"/>
      <c r="AIP319" s="100"/>
      <c r="AIQ319" s="100"/>
      <c r="AIR319" s="100"/>
      <c r="AIS319" s="100"/>
      <c r="AIT319" s="100"/>
      <c r="AIU319" s="100"/>
      <c r="AIV319" s="100"/>
      <c r="AIW319" s="100"/>
      <c r="AIX319" s="100"/>
      <c r="AIY319" s="100"/>
      <c r="AIZ319" s="100"/>
      <c r="AJA319" s="100"/>
      <c r="AJB319" s="100"/>
      <c r="AJC319" s="100"/>
      <c r="AJD319" s="100"/>
      <c r="AJE319" s="100"/>
      <c r="AJF319" s="100"/>
      <c r="AJG319" s="100"/>
      <c r="AJH319" s="100"/>
      <c r="AJI319" s="100"/>
      <c r="AJJ319" s="100"/>
      <c r="AJK319" s="100"/>
      <c r="AJL319" s="100"/>
      <c r="AJM319" s="100"/>
      <c r="AJN319" s="100"/>
      <c r="AJO319" s="100"/>
      <c r="AJP319" s="100"/>
      <c r="AJQ319" s="100"/>
      <c r="AJR319" s="100"/>
      <c r="AJS319" s="100"/>
      <c r="AJT319" s="100"/>
      <c r="AJU319" s="100"/>
      <c r="AJV319" s="100"/>
      <c r="AJW319" s="100"/>
      <c r="AJX319" s="100"/>
      <c r="AJY319" s="100"/>
      <c r="AJZ319" s="100"/>
      <c r="AKA319" s="100"/>
      <c r="AKB319" s="100"/>
      <c r="AKC319" s="100"/>
      <c r="AKD319" s="100"/>
      <c r="AKE319" s="100"/>
      <c r="AKF319" s="100"/>
      <c r="AKG319" s="100"/>
      <c r="AKH319" s="100"/>
      <c r="AKI319" s="100"/>
      <c r="AKJ319" s="100"/>
      <c r="AKK319" s="100"/>
      <c r="AKL319" s="100"/>
      <c r="AKM319" s="100"/>
      <c r="AKN319" s="100"/>
      <c r="AKO319" s="100"/>
      <c r="AKP319" s="100"/>
      <c r="AKQ319" s="100"/>
      <c r="AKR319" s="100"/>
      <c r="AKS319" s="100"/>
      <c r="AKT319" s="100"/>
      <c r="AKU319" s="100"/>
      <c r="AKV319" s="100"/>
      <c r="AKW319" s="100"/>
      <c r="AKX319" s="100"/>
      <c r="AKY319" s="100"/>
      <c r="AKZ319" s="100"/>
      <c r="ALA319" s="100"/>
      <c r="ALB319" s="100"/>
      <c r="ALC319" s="100"/>
      <c r="ALD319" s="100"/>
      <c r="ALE319" s="100"/>
      <c r="ALF319" s="100"/>
      <c r="ALG319" s="100"/>
      <c r="ALH319" s="100"/>
      <c r="ALI319" s="100"/>
      <c r="ALJ319" s="100"/>
      <c r="ALK319" s="100"/>
      <c r="ALL319" s="100"/>
      <c r="ALM319" s="100"/>
      <c r="ALN319" s="100"/>
      <c r="ALO319" s="100"/>
      <c r="ALP319" s="100"/>
      <c r="ALQ319" s="100"/>
      <c r="ALR319" s="100"/>
      <c r="ALS319" s="100"/>
      <c r="ALT319" s="100"/>
      <c r="ALU319" s="100"/>
      <c r="ALV319" s="100"/>
      <c r="ALW319" s="100"/>
      <c r="ALX319" s="100"/>
      <c r="ALY319" s="100"/>
      <c r="ALZ319" s="100"/>
      <c r="AMA319" s="100"/>
      <c r="AMB319" s="100"/>
      <c r="AMC319" s="100"/>
      <c r="AMD319" s="100"/>
    </row>
    <row r="320" spans="1:1018" s="127" customFormat="1" ht="11.25" customHeight="1" x14ac:dyDescent="0.15">
      <c r="A320" s="111"/>
      <c r="B320" s="126">
        <v>16</v>
      </c>
      <c r="C320" s="114">
        <v>313</v>
      </c>
      <c r="D320" s="115" t="s">
        <v>456</v>
      </c>
      <c r="E320" s="171">
        <v>2480</v>
      </c>
      <c r="F320" s="113">
        <f>ROUND(E320*Valores!$C$2,2)</f>
        <v>242558.88</v>
      </c>
      <c r="G320" s="169">
        <v>0</v>
      </c>
      <c r="H320" s="113">
        <f>ROUND(G320*Valores!$C$2,2)</f>
        <v>0</v>
      </c>
      <c r="I320" s="169">
        <v>0</v>
      </c>
      <c r="J320" s="113">
        <f>ROUND(I320*Valores!$C$2,2)</f>
        <v>0</v>
      </c>
      <c r="K320" s="169">
        <v>0</v>
      </c>
      <c r="L320" s="113">
        <f>ROUND(K320*Valores!$C$2,2)</f>
        <v>0</v>
      </c>
      <c r="M320" s="113">
        <f>ROUND(IF($H$2=0,IF(AND(A320&lt;&gt;"13-930",A320&lt;&gt;"13-940"),(SUM(F320,H320,J320,L320,W320,S320,Q320)*Valores!$C$4),0),0),2)</f>
        <v>67627.88</v>
      </c>
      <c r="N320" s="113">
        <f t="shared" si="54"/>
        <v>0</v>
      </c>
      <c r="O320" s="113">
        <v>0</v>
      </c>
      <c r="P320" s="113">
        <v>0</v>
      </c>
      <c r="Q320" s="113">
        <f>IF($F$4="NO",IF(Valores!$C$28*B320&gt;Valores!$C$25,Valores!$C$25,Valores!$C$28*B320),IF(Valores!$C$28*B320&gt;Valores!$C$25,Valores!$C$25,Valores!$C$28*B320)/2)</f>
        <v>27952.639999999999</v>
      </c>
      <c r="R320" s="113">
        <v>0</v>
      </c>
      <c r="S320" s="113">
        <f t="shared" si="55"/>
        <v>0</v>
      </c>
      <c r="T320" s="113">
        <v>0</v>
      </c>
      <c r="U320" s="113">
        <v>0</v>
      </c>
      <c r="V320" s="169">
        <v>0</v>
      </c>
      <c r="W320" s="113">
        <f>ROUND(V320*Valores!$C$2,2)</f>
        <v>0</v>
      </c>
      <c r="X320" s="113">
        <v>0</v>
      </c>
      <c r="Y320" s="188">
        <v>0</v>
      </c>
      <c r="Z320" s="113">
        <v>0</v>
      </c>
      <c r="AA320" s="169">
        <v>0</v>
      </c>
      <c r="AB320" s="113">
        <f>ROUND(AA320*Valores!$C$2,2)</f>
        <v>0</v>
      </c>
      <c r="AC320" s="113"/>
      <c r="AD320" s="113">
        <f>SUM(F320,H320,J320,L320,M320,N320,O320,P320,Q320,S320,T320,U320,W320,X320,Z320,AB320,AC320)*Valores!$C$58</f>
        <v>33813.94</v>
      </c>
      <c r="AE320" s="113">
        <f t="shared" si="49"/>
        <v>371953.34</v>
      </c>
      <c r="AF320" s="113">
        <v>0</v>
      </c>
      <c r="AG320" s="113">
        <f>AE320*Valores!$C$60*Valores!$C$61</f>
        <v>0</v>
      </c>
      <c r="AH320" s="113">
        <f t="shared" si="45"/>
        <v>0</v>
      </c>
      <c r="AI320" s="113">
        <f>AE320*Valores!$C$39</f>
        <v>-40914.867400000003</v>
      </c>
      <c r="AJ320" s="113">
        <f>IF(AE320&lt;Valores!$E$40,-0.02,IF(AE320&lt;Valores!$F$40,-0.03,-0.04))*AE320</f>
        <v>-7439.0668000000005</v>
      </c>
      <c r="AK320" s="113">
        <f>AE320*Valores!$C$42</f>
        <v>-20457.433700000001</v>
      </c>
      <c r="AL320" s="113">
        <v>0</v>
      </c>
      <c r="AM320" s="113">
        <v>0</v>
      </c>
      <c r="AN320" s="113">
        <f t="shared" si="50"/>
        <v>303141.97210000001</v>
      </c>
      <c r="AO320" s="113">
        <f t="shared" si="44"/>
        <v>-40914.867400000003</v>
      </c>
      <c r="AP320" s="113">
        <f t="shared" si="51"/>
        <v>-7439.0668000000005</v>
      </c>
      <c r="AQ320" s="113">
        <f>AE320*Valores!$C$43</f>
        <v>-10042.740180000001</v>
      </c>
      <c r="AR320" s="113">
        <f>AE320*Valores!$C$44</f>
        <v>-1115.8600200000001</v>
      </c>
      <c r="AS320" s="113">
        <f t="shared" si="46"/>
        <v>312440.80560000002</v>
      </c>
      <c r="AT320" s="113">
        <f>AE320*Valores!$C$46</f>
        <v>59512.534400000004</v>
      </c>
      <c r="AU320" s="113">
        <f>AE320*Valores!$C$47</f>
        <v>26036.733800000005</v>
      </c>
      <c r="AV320" s="113">
        <f>AE320*Valores!$C$48</f>
        <v>3719.5334000000003</v>
      </c>
      <c r="AW320" s="113">
        <f>AE320*Valores!$C$50</f>
        <v>13018.366900000003</v>
      </c>
      <c r="AX320" s="113">
        <f>AE320*Valores!$C$52</f>
        <v>20085.480360000001</v>
      </c>
      <c r="AY320" s="113">
        <f>AE320*Valores!$C$51</f>
        <v>2231.7200400000002</v>
      </c>
      <c r="AZ320" s="114"/>
      <c r="BA320" s="114"/>
      <c r="BB320" s="111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  <c r="EO320" s="100"/>
      <c r="EP320" s="100"/>
      <c r="EQ320" s="100"/>
      <c r="ER320" s="100"/>
      <c r="ES320" s="100"/>
      <c r="ET320" s="100"/>
      <c r="EU320" s="100"/>
      <c r="EV320" s="100"/>
      <c r="EW320" s="100"/>
      <c r="EX320" s="100"/>
      <c r="EY320" s="100"/>
      <c r="EZ320" s="100"/>
      <c r="FA320" s="100"/>
      <c r="FB320" s="100"/>
      <c r="FC320" s="100"/>
      <c r="FD320" s="100"/>
      <c r="FE320" s="100"/>
      <c r="FF320" s="100"/>
      <c r="FG320" s="100"/>
      <c r="FH320" s="100"/>
      <c r="FI320" s="100"/>
      <c r="FJ320" s="100"/>
      <c r="FK320" s="100"/>
      <c r="FL320" s="100"/>
      <c r="FM320" s="100"/>
      <c r="FN320" s="100"/>
      <c r="FO320" s="100"/>
      <c r="FP320" s="100"/>
      <c r="FQ320" s="100"/>
      <c r="FR320" s="100"/>
      <c r="FS320" s="100"/>
      <c r="FT320" s="100"/>
      <c r="FU320" s="100"/>
      <c r="FV320" s="100"/>
      <c r="FW320" s="100"/>
      <c r="FX320" s="100"/>
      <c r="FY320" s="100"/>
      <c r="FZ320" s="100"/>
      <c r="GA320" s="100"/>
      <c r="GB320" s="100"/>
      <c r="GC320" s="100"/>
      <c r="GD320" s="100"/>
      <c r="GE320" s="100"/>
      <c r="GF320" s="100"/>
      <c r="GG320" s="100"/>
      <c r="GH320" s="100"/>
      <c r="GI320" s="100"/>
      <c r="GJ320" s="100"/>
      <c r="GK320" s="100"/>
      <c r="GL320" s="100"/>
      <c r="GM320" s="100"/>
      <c r="GN320" s="100"/>
      <c r="GO320" s="100"/>
      <c r="GP320" s="100"/>
      <c r="GQ320" s="100"/>
      <c r="GR320" s="100"/>
      <c r="GS320" s="100"/>
      <c r="GT320" s="100"/>
      <c r="GU320" s="100"/>
      <c r="GV320" s="100"/>
      <c r="GW320" s="100"/>
      <c r="GX320" s="100"/>
      <c r="GY320" s="100"/>
      <c r="GZ320" s="100"/>
      <c r="HA320" s="100"/>
      <c r="HB320" s="100"/>
      <c r="HC320" s="100"/>
      <c r="HD320" s="100"/>
      <c r="HE320" s="100"/>
      <c r="HF320" s="100"/>
      <c r="HG320" s="100"/>
      <c r="HH320" s="100"/>
      <c r="HI320" s="100"/>
      <c r="HJ320" s="100"/>
      <c r="HK320" s="100"/>
      <c r="HL320" s="100"/>
      <c r="HM320" s="100"/>
      <c r="HN320" s="100"/>
      <c r="HO320" s="100"/>
      <c r="HP320" s="100"/>
      <c r="HQ320" s="100"/>
      <c r="HR320" s="100"/>
      <c r="HS320" s="100"/>
      <c r="HT320" s="100"/>
      <c r="HU320" s="100"/>
      <c r="HV320" s="100"/>
      <c r="HW320" s="100"/>
      <c r="HX320" s="100"/>
      <c r="HY320" s="100"/>
      <c r="HZ320" s="100"/>
      <c r="IA320" s="100"/>
      <c r="IB320" s="100"/>
      <c r="IC320" s="100"/>
      <c r="ID320" s="100"/>
      <c r="IE320" s="100"/>
      <c r="IF320" s="100"/>
      <c r="IG320" s="100"/>
      <c r="IH320" s="100"/>
      <c r="II320" s="100"/>
      <c r="IJ320" s="100"/>
      <c r="IK320" s="100"/>
      <c r="IL320" s="100"/>
      <c r="IM320" s="100"/>
      <c r="IN320" s="100"/>
      <c r="IO320" s="100"/>
      <c r="IP320" s="100"/>
      <c r="IQ320" s="100"/>
      <c r="IR320" s="100"/>
      <c r="IS320" s="100"/>
      <c r="IT320" s="100"/>
      <c r="IU320" s="100"/>
      <c r="IV320" s="100"/>
      <c r="IW320" s="100"/>
      <c r="IX320" s="100"/>
      <c r="IY320" s="100"/>
      <c r="IZ320" s="100"/>
      <c r="JA320" s="100"/>
      <c r="JB320" s="100"/>
      <c r="JC320" s="100"/>
      <c r="JD320" s="100"/>
      <c r="JE320" s="100"/>
      <c r="JF320" s="100"/>
      <c r="JG320" s="100"/>
      <c r="JH320" s="100"/>
      <c r="JI320" s="100"/>
      <c r="JJ320" s="100"/>
      <c r="JK320" s="100"/>
      <c r="JL320" s="100"/>
      <c r="JM320" s="100"/>
      <c r="JN320" s="100"/>
      <c r="JO320" s="100"/>
      <c r="JP320" s="100"/>
      <c r="JQ320" s="100"/>
      <c r="JR320" s="100"/>
      <c r="JS320" s="100"/>
      <c r="JT320" s="100"/>
      <c r="JU320" s="100"/>
      <c r="JV320" s="100"/>
      <c r="JW320" s="100"/>
      <c r="JX320" s="100"/>
      <c r="JY320" s="100"/>
      <c r="JZ320" s="100"/>
      <c r="KA320" s="100"/>
      <c r="KB320" s="100"/>
      <c r="KC320" s="100"/>
      <c r="KD320" s="100"/>
      <c r="KE320" s="100"/>
      <c r="KF320" s="100"/>
      <c r="KG320" s="100"/>
      <c r="KH320" s="100"/>
      <c r="KI320" s="100"/>
      <c r="KJ320" s="100"/>
      <c r="KK320" s="100"/>
      <c r="KL320" s="100"/>
      <c r="KM320" s="100"/>
      <c r="KN320" s="100"/>
      <c r="KO320" s="100"/>
      <c r="KP320" s="100"/>
      <c r="KQ320" s="100"/>
      <c r="KR320" s="100"/>
      <c r="KS320" s="100"/>
      <c r="KT320" s="100"/>
      <c r="KU320" s="100"/>
      <c r="KV320" s="100"/>
      <c r="KW320" s="100"/>
      <c r="KX320" s="100"/>
      <c r="KY320" s="100"/>
      <c r="KZ320" s="100"/>
      <c r="LA320" s="100"/>
      <c r="LB320" s="100"/>
      <c r="LC320" s="100"/>
      <c r="LD320" s="100"/>
      <c r="LE320" s="100"/>
      <c r="LF320" s="100"/>
      <c r="LG320" s="100"/>
      <c r="LH320" s="100"/>
      <c r="LI320" s="100"/>
      <c r="LJ320" s="100"/>
      <c r="LK320" s="100"/>
      <c r="LL320" s="100"/>
      <c r="LM320" s="100"/>
      <c r="LN320" s="100"/>
      <c r="LO320" s="100"/>
      <c r="LP320" s="100"/>
      <c r="LQ320" s="100"/>
      <c r="LR320" s="100"/>
      <c r="LS320" s="100"/>
      <c r="LT320" s="100"/>
      <c r="LU320" s="100"/>
      <c r="LV320" s="100"/>
      <c r="LW320" s="100"/>
      <c r="LX320" s="100"/>
      <c r="LY320" s="100"/>
      <c r="LZ320" s="100"/>
      <c r="MA320" s="100"/>
      <c r="MB320" s="100"/>
      <c r="MC320" s="100"/>
      <c r="MD320" s="100"/>
      <c r="ME320" s="100"/>
      <c r="MF320" s="100"/>
      <c r="MG320" s="100"/>
      <c r="MH320" s="100"/>
      <c r="MI320" s="100"/>
      <c r="MJ320" s="100"/>
      <c r="MK320" s="100"/>
      <c r="ML320" s="100"/>
      <c r="MM320" s="100"/>
      <c r="MN320" s="100"/>
      <c r="MO320" s="100"/>
      <c r="MP320" s="100"/>
      <c r="MQ320" s="100"/>
      <c r="MR320" s="100"/>
      <c r="MS320" s="100"/>
      <c r="MT320" s="100"/>
      <c r="MU320" s="100"/>
      <c r="MV320" s="100"/>
      <c r="MW320" s="100"/>
      <c r="MX320" s="100"/>
      <c r="MY320" s="100"/>
      <c r="MZ320" s="100"/>
      <c r="NA320" s="100"/>
      <c r="NB320" s="100"/>
      <c r="NC320" s="100"/>
      <c r="ND320" s="100"/>
      <c r="NE320" s="100"/>
      <c r="NF320" s="100"/>
      <c r="NG320" s="100"/>
      <c r="NH320" s="100"/>
      <c r="NI320" s="100"/>
      <c r="NJ320" s="100"/>
      <c r="NK320" s="100"/>
      <c r="NL320" s="100"/>
      <c r="NM320" s="100"/>
      <c r="NN320" s="100"/>
      <c r="NO320" s="100"/>
      <c r="NP320" s="100"/>
      <c r="NQ320" s="100"/>
      <c r="NR320" s="100"/>
      <c r="NS320" s="100"/>
      <c r="NT320" s="100"/>
      <c r="NU320" s="100"/>
      <c r="NV320" s="100"/>
      <c r="NW320" s="100"/>
      <c r="NX320" s="100"/>
      <c r="NY320" s="100"/>
      <c r="NZ320" s="100"/>
      <c r="OA320" s="100"/>
      <c r="OB320" s="100"/>
      <c r="OC320" s="100"/>
      <c r="OD320" s="100"/>
      <c r="OE320" s="100"/>
      <c r="OF320" s="100"/>
      <c r="OG320" s="100"/>
      <c r="OH320" s="100"/>
      <c r="OI320" s="100"/>
      <c r="OJ320" s="100"/>
      <c r="OK320" s="100"/>
      <c r="OL320" s="100"/>
      <c r="OM320" s="100"/>
      <c r="ON320" s="100"/>
      <c r="OO320" s="100"/>
      <c r="OP320" s="100"/>
      <c r="OQ320" s="100"/>
      <c r="OR320" s="100"/>
      <c r="OS320" s="100"/>
      <c r="OT320" s="100"/>
      <c r="OU320" s="100"/>
      <c r="OV320" s="100"/>
      <c r="OW320" s="100"/>
      <c r="OX320" s="100"/>
      <c r="OY320" s="100"/>
      <c r="OZ320" s="100"/>
      <c r="PA320" s="100"/>
      <c r="PB320" s="100"/>
      <c r="PC320" s="100"/>
      <c r="PD320" s="100"/>
      <c r="PE320" s="100"/>
      <c r="PF320" s="100"/>
      <c r="PG320" s="100"/>
      <c r="PH320" s="100"/>
      <c r="PI320" s="100"/>
      <c r="PJ320" s="100"/>
      <c r="PK320" s="100"/>
      <c r="PL320" s="100"/>
      <c r="PM320" s="100"/>
      <c r="PN320" s="100"/>
      <c r="PO320" s="100"/>
      <c r="PP320" s="100"/>
      <c r="PQ320" s="100"/>
      <c r="PR320" s="100"/>
      <c r="PS320" s="100"/>
      <c r="PT320" s="100"/>
      <c r="PU320" s="100"/>
      <c r="PV320" s="100"/>
      <c r="PW320" s="100"/>
      <c r="PX320" s="100"/>
      <c r="PY320" s="100"/>
      <c r="PZ320" s="100"/>
      <c r="QA320" s="100"/>
      <c r="QB320" s="100"/>
      <c r="QC320" s="100"/>
      <c r="QD320" s="100"/>
      <c r="QE320" s="100"/>
      <c r="QF320" s="100"/>
      <c r="QG320" s="100"/>
      <c r="QH320" s="100"/>
      <c r="QI320" s="100"/>
      <c r="QJ320" s="100"/>
      <c r="QK320" s="100"/>
      <c r="QL320" s="100"/>
      <c r="QM320" s="100"/>
      <c r="QN320" s="100"/>
      <c r="QO320" s="100"/>
      <c r="QP320" s="100"/>
      <c r="QQ320" s="100"/>
      <c r="QR320" s="100"/>
      <c r="QS320" s="100"/>
      <c r="QT320" s="100"/>
      <c r="QU320" s="100"/>
      <c r="QV320" s="100"/>
      <c r="QW320" s="100"/>
      <c r="QX320" s="100"/>
      <c r="QY320" s="100"/>
      <c r="QZ320" s="100"/>
      <c r="RA320" s="100"/>
      <c r="RB320" s="100"/>
      <c r="RC320" s="100"/>
      <c r="RD320" s="100"/>
      <c r="RE320" s="100"/>
      <c r="RF320" s="100"/>
      <c r="RG320" s="100"/>
      <c r="RH320" s="100"/>
      <c r="RI320" s="100"/>
      <c r="RJ320" s="100"/>
      <c r="RK320" s="100"/>
      <c r="RL320" s="100"/>
      <c r="RM320" s="100"/>
      <c r="RN320" s="100"/>
      <c r="RO320" s="100"/>
      <c r="RP320" s="100"/>
      <c r="RQ320" s="100"/>
      <c r="RR320" s="100"/>
      <c r="RS320" s="100"/>
      <c r="RT320" s="100"/>
      <c r="RU320" s="100"/>
      <c r="RV320" s="100"/>
      <c r="RW320" s="100"/>
      <c r="RX320" s="100"/>
      <c r="RY320" s="100"/>
      <c r="RZ320" s="100"/>
      <c r="SA320" s="100"/>
      <c r="SB320" s="100"/>
      <c r="SC320" s="100"/>
      <c r="SD320" s="100"/>
      <c r="SE320" s="100"/>
      <c r="SF320" s="100"/>
      <c r="SG320" s="100"/>
      <c r="SH320" s="100"/>
      <c r="SI320" s="100"/>
      <c r="SJ320" s="100"/>
      <c r="SK320" s="100"/>
      <c r="SL320" s="100"/>
      <c r="SM320" s="100"/>
      <c r="SN320" s="100"/>
      <c r="SO320" s="100"/>
      <c r="SP320" s="100"/>
      <c r="SQ320" s="100"/>
      <c r="SR320" s="100"/>
      <c r="SS320" s="100"/>
      <c r="ST320" s="100"/>
      <c r="SU320" s="100"/>
      <c r="SV320" s="100"/>
      <c r="SW320" s="100"/>
      <c r="SX320" s="100"/>
      <c r="SY320" s="100"/>
      <c r="SZ320" s="100"/>
      <c r="TA320" s="100"/>
      <c r="TB320" s="100"/>
      <c r="TC320" s="100"/>
      <c r="TD320" s="100"/>
      <c r="TE320" s="100"/>
      <c r="TF320" s="100"/>
      <c r="TG320" s="100"/>
      <c r="TH320" s="100"/>
      <c r="TI320" s="100"/>
      <c r="TJ320" s="100"/>
      <c r="TK320" s="100"/>
      <c r="TL320" s="100"/>
      <c r="TM320" s="100"/>
      <c r="TN320" s="100"/>
      <c r="TO320" s="100"/>
      <c r="TP320" s="100"/>
      <c r="TQ320" s="100"/>
      <c r="TR320" s="100"/>
      <c r="TS320" s="100"/>
      <c r="TT320" s="100"/>
      <c r="TU320" s="100"/>
      <c r="TV320" s="100"/>
      <c r="TW320" s="100"/>
      <c r="TX320" s="100"/>
      <c r="TY320" s="100"/>
      <c r="TZ320" s="100"/>
      <c r="UA320" s="100"/>
      <c r="UB320" s="100"/>
      <c r="UC320" s="100"/>
      <c r="UD320" s="100"/>
      <c r="UE320" s="100"/>
      <c r="UF320" s="100"/>
      <c r="UG320" s="100"/>
      <c r="UH320" s="100"/>
      <c r="UI320" s="100"/>
      <c r="UJ320" s="100"/>
      <c r="UK320" s="100"/>
      <c r="UL320" s="100"/>
      <c r="UM320" s="100"/>
      <c r="UN320" s="100"/>
      <c r="UO320" s="100"/>
      <c r="UP320" s="100"/>
      <c r="UQ320" s="100"/>
      <c r="UR320" s="100"/>
      <c r="US320" s="100"/>
      <c r="UT320" s="100"/>
      <c r="UU320" s="100"/>
      <c r="UV320" s="100"/>
      <c r="UW320" s="100"/>
      <c r="UX320" s="100"/>
      <c r="UY320" s="100"/>
      <c r="UZ320" s="100"/>
      <c r="VA320" s="100"/>
      <c r="VB320" s="100"/>
      <c r="VC320" s="100"/>
      <c r="VD320" s="100"/>
      <c r="VE320" s="100"/>
      <c r="VF320" s="100"/>
      <c r="VG320" s="100"/>
      <c r="VH320" s="100"/>
      <c r="VI320" s="100"/>
      <c r="VJ320" s="100"/>
      <c r="VK320" s="100"/>
      <c r="VL320" s="100"/>
      <c r="VM320" s="100"/>
      <c r="VN320" s="100"/>
      <c r="VO320" s="100"/>
      <c r="VP320" s="100"/>
      <c r="VQ320" s="100"/>
      <c r="VR320" s="100"/>
      <c r="VS320" s="100"/>
      <c r="VT320" s="100"/>
      <c r="VU320" s="100"/>
      <c r="VV320" s="100"/>
      <c r="VW320" s="100"/>
      <c r="VX320" s="100"/>
      <c r="VY320" s="100"/>
      <c r="VZ320" s="100"/>
      <c r="WA320" s="100"/>
      <c r="WB320" s="100"/>
      <c r="WC320" s="100"/>
      <c r="WD320" s="100"/>
      <c r="WE320" s="100"/>
      <c r="WF320" s="100"/>
      <c r="WG320" s="100"/>
      <c r="WH320" s="100"/>
      <c r="WI320" s="100"/>
      <c r="WJ320" s="100"/>
      <c r="WK320" s="100"/>
      <c r="WL320" s="100"/>
      <c r="WM320" s="100"/>
      <c r="WN320" s="100"/>
      <c r="WO320" s="100"/>
      <c r="WP320" s="100"/>
      <c r="WQ320" s="100"/>
      <c r="WR320" s="100"/>
      <c r="WS320" s="100"/>
      <c r="WT320" s="100"/>
      <c r="WU320" s="100"/>
      <c r="WV320" s="100"/>
      <c r="WW320" s="100"/>
      <c r="WX320" s="100"/>
      <c r="WY320" s="100"/>
      <c r="WZ320" s="100"/>
      <c r="XA320" s="100"/>
      <c r="XB320" s="100"/>
      <c r="XC320" s="100"/>
      <c r="XD320" s="100"/>
      <c r="XE320" s="100"/>
      <c r="XF320" s="100"/>
      <c r="XG320" s="100"/>
      <c r="XH320" s="100"/>
      <c r="XI320" s="100"/>
      <c r="XJ320" s="100"/>
      <c r="XK320" s="100"/>
      <c r="XL320" s="100"/>
      <c r="XM320" s="100"/>
      <c r="XN320" s="100"/>
      <c r="XO320" s="100"/>
      <c r="XP320" s="100"/>
      <c r="XQ320" s="100"/>
      <c r="XR320" s="100"/>
      <c r="XS320" s="100"/>
      <c r="XT320" s="100"/>
      <c r="XU320" s="100"/>
      <c r="XV320" s="100"/>
      <c r="XW320" s="100"/>
      <c r="XX320" s="100"/>
      <c r="XY320" s="100"/>
      <c r="XZ320" s="100"/>
      <c r="YA320" s="100"/>
      <c r="YB320" s="100"/>
      <c r="YC320" s="100"/>
      <c r="YD320" s="100"/>
      <c r="YE320" s="100"/>
      <c r="YF320" s="100"/>
      <c r="YG320" s="100"/>
      <c r="YH320" s="100"/>
      <c r="YI320" s="100"/>
      <c r="YJ320" s="100"/>
      <c r="YK320" s="100"/>
      <c r="YL320" s="100"/>
      <c r="YM320" s="100"/>
      <c r="YN320" s="100"/>
      <c r="YO320" s="100"/>
      <c r="YP320" s="100"/>
      <c r="YQ320" s="100"/>
      <c r="YR320" s="100"/>
      <c r="YS320" s="100"/>
      <c r="YT320" s="100"/>
      <c r="YU320" s="100"/>
      <c r="YV320" s="100"/>
      <c r="YW320" s="100"/>
      <c r="YX320" s="100"/>
      <c r="YY320" s="100"/>
      <c r="YZ320" s="100"/>
      <c r="ZA320" s="100"/>
      <c r="ZB320" s="100"/>
      <c r="ZC320" s="100"/>
      <c r="ZD320" s="100"/>
      <c r="ZE320" s="100"/>
      <c r="ZF320" s="100"/>
      <c r="ZG320" s="100"/>
      <c r="ZH320" s="100"/>
      <c r="ZI320" s="100"/>
      <c r="ZJ320" s="100"/>
      <c r="ZK320" s="100"/>
      <c r="ZL320" s="100"/>
      <c r="ZM320" s="100"/>
      <c r="ZN320" s="100"/>
      <c r="ZO320" s="100"/>
      <c r="ZP320" s="100"/>
      <c r="ZQ320" s="100"/>
      <c r="ZR320" s="100"/>
      <c r="ZS320" s="100"/>
      <c r="ZT320" s="100"/>
      <c r="ZU320" s="100"/>
      <c r="ZV320" s="100"/>
      <c r="ZW320" s="100"/>
      <c r="ZX320" s="100"/>
      <c r="ZY320" s="100"/>
      <c r="ZZ320" s="100"/>
      <c r="AAA320" s="100"/>
      <c r="AAB320" s="100"/>
      <c r="AAC320" s="100"/>
      <c r="AAD320" s="100"/>
      <c r="AAE320" s="100"/>
      <c r="AAF320" s="100"/>
      <c r="AAG320" s="100"/>
      <c r="AAH320" s="100"/>
      <c r="AAI320" s="100"/>
      <c r="AAJ320" s="100"/>
      <c r="AAK320" s="100"/>
      <c r="AAL320" s="100"/>
      <c r="AAM320" s="100"/>
      <c r="AAN320" s="100"/>
      <c r="AAO320" s="100"/>
      <c r="AAP320" s="100"/>
      <c r="AAQ320" s="100"/>
      <c r="AAR320" s="100"/>
      <c r="AAS320" s="100"/>
      <c r="AAT320" s="100"/>
      <c r="AAU320" s="100"/>
      <c r="AAV320" s="100"/>
      <c r="AAW320" s="100"/>
      <c r="AAX320" s="100"/>
      <c r="AAY320" s="100"/>
      <c r="AAZ320" s="100"/>
      <c r="ABA320" s="100"/>
      <c r="ABB320" s="100"/>
      <c r="ABC320" s="100"/>
      <c r="ABD320" s="100"/>
      <c r="ABE320" s="100"/>
      <c r="ABF320" s="100"/>
      <c r="ABG320" s="100"/>
      <c r="ABH320" s="100"/>
      <c r="ABI320" s="100"/>
      <c r="ABJ320" s="100"/>
      <c r="ABK320" s="100"/>
      <c r="ABL320" s="100"/>
      <c r="ABM320" s="100"/>
      <c r="ABN320" s="100"/>
      <c r="ABO320" s="100"/>
      <c r="ABP320" s="100"/>
      <c r="ABQ320" s="100"/>
      <c r="ABR320" s="100"/>
      <c r="ABS320" s="100"/>
      <c r="ABT320" s="100"/>
      <c r="ABU320" s="100"/>
      <c r="ABV320" s="100"/>
      <c r="ABW320" s="100"/>
      <c r="ABX320" s="100"/>
      <c r="ABY320" s="100"/>
      <c r="ABZ320" s="100"/>
      <c r="ACA320" s="100"/>
      <c r="ACB320" s="100"/>
      <c r="ACC320" s="100"/>
      <c r="ACD320" s="100"/>
      <c r="ACE320" s="100"/>
      <c r="ACF320" s="100"/>
      <c r="ACG320" s="100"/>
      <c r="ACH320" s="100"/>
      <c r="ACI320" s="100"/>
      <c r="ACJ320" s="100"/>
      <c r="ACK320" s="100"/>
      <c r="ACL320" s="100"/>
      <c r="ACM320" s="100"/>
      <c r="ACN320" s="100"/>
      <c r="ACO320" s="100"/>
      <c r="ACP320" s="100"/>
      <c r="ACQ320" s="100"/>
      <c r="ACR320" s="100"/>
      <c r="ACS320" s="100"/>
      <c r="ACT320" s="100"/>
      <c r="ACU320" s="100"/>
      <c r="ACV320" s="100"/>
      <c r="ACW320" s="100"/>
      <c r="ACX320" s="100"/>
      <c r="ACY320" s="100"/>
      <c r="ACZ320" s="100"/>
      <c r="ADA320" s="100"/>
      <c r="ADB320" s="100"/>
      <c r="ADC320" s="100"/>
      <c r="ADD320" s="100"/>
      <c r="ADE320" s="100"/>
      <c r="ADF320" s="100"/>
      <c r="ADG320" s="100"/>
      <c r="ADH320" s="100"/>
      <c r="ADI320" s="100"/>
      <c r="ADJ320" s="100"/>
      <c r="ADK320" s="100"/>
      <c r="ADL320" s="100"/>
      <c r="ADM320" s="100"/>
      <c r="ADN320" s="100"/>
      <c r="ADO320" s="100"/>
      <c r="ADP320" s="100"/>
      <c r="ADQ320" s="100"/>
      <c r="ADR320" s="100"/>
      <c r="ADS320" s="100"/>
      <c r="ADT320" s="100"/>
      <c r="ADU320" s="100"/>
      <c r="ADV320" s="100"/>
      <c r="ADW320" s="100"/>
      <c r="ADX320" s="100"/>
      <c r="ADY320" s="100"/>
      <c r="ADZ320" s="100"/>
      <c r="AEA320" s="100"/>
      <c r="AEB320" s="100"/>
      <c r="AEC320" s="100"/>
      <c r="AED320" s="100"/>
      <c r="AEE320" s="100"/>
      <c r="AEF320" s="100"/>
      <c r="AEG320" s="100"/>
      <c r="AEH320" s="100"/>
      <c r="AEI320" s="100"/>
      <c r="AEJ320" s="100"/>
      <c r="AEK320" s="100"/>
      <c r="AEL320" s="100"/>
      <c r="AEM320" s="100"/>
      <c r="AEN320" s="100"/>
      <c r="AEO320" s="100"/>
      <c r="AEP320" s="100"/>
      <c r="AEQ320" s="100"/>
      <c r="AER320" s="100"/>
      <c r="AES320" s="100"/>
      <c r="AET320" s="100"/>
      <c r="AEU320" s="100"/>
      <c r="AEV320" s="100"/>
      <c r="AEW320" s="100"/>
      <c r="AEX320" s="100"/>
      <c r="AEY320" s="100"/>
      <c r="AEZ320" s="100"/>
      <c r="AFA320" s="100"/>
      <c r="AFB320" s="100"/>
      <c r="AFC320" s="100"/>
      <c r="AFD320" s="100"/>
      <c r="AFE320" s="100"/>
      <c r="AFF320" s="100"/>
      <c r="AFG320" s="100"/>
      <c r="AFH320" s="100"/>
      <c r="AFI320" s="100"/>
      <c r="AFJ320" s="100"/>
      <c r="AFK320" s="100"/>
      <c r="AFL320" s="100"/>
      <c r="AFM320" s="100"/>
      <c r="AFN320" s="100"/>
      <c r="AFO320" s="100"/>
      <c r="AFP320" s="100"/>
      <c r="AFQ320" s="100"/>
      <c r="AFR320" s="100"/>
      <c r="AFS320" s="100"/>
      <c r="AFT320" s="100"/>
      <c r="AFU320" s="100"/>
      <c r="AFV320" s="100"/>
      <c r="AFW320" s="100"/>
      <c r="AFX320" s="100"/>
      <c r="AFY320" s="100"/>
      <c r="AFZ320" s="100"/>
      <c r="AGA320" s="100"/>
      <c r="AGB320" s="100"/>
      <c r="AGC320" s="100"/>
      <c r="AGD320" s="100"/>
      <c r="AGE320" s="100"/>
      <c r="AGF320" s="100"/>
      <c r="AGG320" s="100"/>
      <c r="AGH320" s="100"/>
      <c r="AGI320" s="100"/>
      <c r="AGJ320" s="100"/>
      <c r="AGK320" s="100"/>
      <c r="AGL320" s="100"/>
      <c r="AGM320" s="100"/>
      <c r="AGN320" s="100"/>
      <c r="AGO320" s="100"/>
      <c r="AGP320" s="100"/>
      <c r="AGQ320" s="100"/>
      <c r="AGR320" s="100"/>
      <c r="AGS320" s="100"/>
      <c r="AGT320" s="100"/>
      <c r="AGU320" s="100"/>
      <c r="AGV320" s="100"/>
      <c r="AGW320" s="100"/>
      <c r="AGX320" s="100"/>
      <c r="AGY320" s="100"/>
      <c r="AGZ320" s="100"/>
      <c r="AHA320" s="100"/>
      <c r="AHB320" s="100"/>
      <c r="AHC320" s="100"/>
      <c r="AHD320" s="100"/>
      <c r="AHE320" s="100"/>
      <c r="AHF320" s="100"/>
      <c r="AHG320" s="100"/>
      <c r="AHH320" s="100"/>
      <c r="AHI320" s="100"/>
      <c r="AHJ320" s="100"/>
      <c r="AHK320" s="100"/>
      <c r="AHL320" s="100"/>
      <c r="AHM320" s="100"/>
      <c r="AHN320" s="100"/>
      <c r="AHO320" s="100"/>
      <c r="AHP320" s="100"/>
      <c r="AHQ320" s="100"/>
      <c r="AHR320" s="100"/>
      <c r="AHS320" s="100"/>
      <c r="AHT320" s="100"/>
      <c r="AHU320" s="100"/>
      <c r="AHV320" s="100"/>
      <c r="AHW320" s="100"/>
      <c r="AHX320" s="100"/>
      <c r="AHY320" s="100"/>
      <c r="AHZ320" s="100"/>
      <c r="AIA320" s="100"/>
      <c r="AIB320" s="100"/>
      <c r="AIC320" s="100"/>
      <c r="AID320" s="100"/>
      <c r="AIE320" s="100"/>
      <c r="AIF320" s="100"/>
      <c r="AIG320" s="100"/>
      <c r="AIH320" s="100"/>
      <c r="AII320" s="100"/>
      <c r="AIJ320" s="100"/>
      <c r="AIK320" s="100"/>
      <c r="AIL320" s="100"/>
      <c r="AIM320" s="100"/>
      <c r="AIN320" s="100"/>
      <c r="AIO320" s="100"/>
      <c r="AIP320" s="100"/>
      <c r="AIQ320" s="100"/>
      <c r="AIR320" s="100"/>
      <c r="AIS320" s="100"/>
      <c r="AIT320" s="100"/>
      <c r="AIU320" s="100"/>
      <c r="AIV320" s="100"/>
      <c r="AIW320" s="100"/>
      <c r="AIX320" s="100"/>
      <c r="AIY320" s="100"/>
      <c r="AIZ320" s="100"/>
      <c r="AJA320" s="100"/>
      <c r="AJB320" s="100"/>
      <c r="AJC320" s="100"/>
      <c r="AJD320" s="100"/>
      <c r="AJE320" s="100"/>
      <c r="AJF320" s="100"/>
      <c r="AJG320" s="100"/>
      <c r="AJH320" s="100"/>
      <c r="AJI320" s="100"/>
      <c r="AJJ320" s="100"/>
      <c r="AJK320" s="100"/>
      <c r="AJL320" s="100"/>
      <c r="AJM320" s="100"/>
      <c r="AJN320" s="100"/>
      <c r="AJO320" s="100"/>
      <c r="AJP320" s="100"/>
      <c r="AJQ320" s="100"/>
      <c r="AJR320" s="100"/>
      <c r="AJS320" s="100"/>
      <c r="AJT320" s="100"/>
      <c r="AJU320" s="100"/>
      <c r="AJV320" s="100"/>
      <c r="AJW320" s="100"/>
      <c r="AJX320" s="100"/>
      <c r="AJY320" s="100"/>
      <c r="AJZ320" s="100"/>
      <c r="AKA320" s="100"/>
      <c r="AKB320" s="100"/>
      <c r="AKC320" s="100"/>
      <c r="AKD320" s="100"/>
      <c r="AKE320" s="100"/>
      <c r="AKF320" s="100"/>
      <c r="AKG320" s="100"/>
      <c r="AKH320" s="100"/>
      <c r="AKI320" s="100"/>
      <c r="AKJ320" s="100"/>
      <c r="AKK320" s="100"/>
      <c r="AKL320" s="100"/>
      <c r="AKM320" s="100"/>
      <c r="AKN320" s="100"/>
      <c r="AKO320" s="100"/>
      <c r="AKP320" s="100"/>
      <c r="AKQ320" s="100"/>
      <c r="AKR320" s="100"/>
      <c r="AKS320" s="100"/>
      <c r="AKT320" s="100"/>
      <c r="AKU320" s="100"/>
      <c r="AKV320" s="100"/>
      <c r="AKW320" s="100"/>
      <c r="AKX320" s="100"/>
      <c r="AKY320" s="100"/>
      <c r="AKZ320" s="100"/>
      <c r="ALA320" s="100"/>
      <c r="ALB320" s="100"/>
      <c r="ALC320" s="100"/>
      <c r="ALD320" s="100"/>
      <c r="ALE320" s="100"/>
      <c r="ALF320" s="100"/>
      <c r="ALG320" s="100"/>
      <c r="ALH320" s="100"/>
      <c r="ALI320" s="100"/>
      <c r="ALJ320" s="100"/>
      <c r="ALK320" s="100"/>
      <c r="ALL320" s="100"/>
      <c r="ALM320" s="100"/>
      <c r="ALN320" s="100"/>
      <c r="ALO320" s="100"/>
      <c r="ALP320" s="100"/>
      <c r="ALQ320" s="100"/>
      <c r="ALR320" s="100"/>
      <c r="ALS320" s="100"/>
      <c r="ALT320" s="100"/>
      <c r="ALU320" s="100"/>
      <c r="ALV320" s="100"/>
      <c r="ALW320" s="100"/>
      <c r="ALX320" s="100"/>
      <c r="ALY320" s="100"/>
      <c r="ALZ320" s="100"/>
      <c r="AMA320" s="100"/>
      <c r="AMB320" s="100"/>
      <c r="AMC320" s="100"/>
      <c r="AMD320" s="100"/>
    </row>
    <row r="321" spans="1:1018" s="127" customFormat="1" ht="11.25" customHeight="1" x14ac:dyDescent="0.15">
      <c r="A321" s="128" t="s">
        <v>436</v>
      </c>
      <c r="B321" s="126">
        <v>1</v>
      </c>
      <c r="C321" s="114">
        <v>314</v>
      </c>
      <c r="D321" s="115" t="s">
        <v>457</v>
      </c>
      <c r="E321" s="171">
        <v>275</v>
      </c>
      <c r="F321" s="113">
        <f>ROUND(E321*Valores!$C$2,2)</f>
        <v>26896.65</v>
      </c>
      <c r="G321" s="169">
        <v>0</v>
      </c>
      <c r="H321" s="113">
        <f>ROUND(G321*Valores!$C$2,2)</f>
        <v>0</v>
      </c>
      <c r="I321" s="169">
        <v>0</v>
      </c>
      <c r="J321" s="113">
        <f>ROUND(I321*Valores!$C$2,2)</f>
        <v>0</v>
      </c>
      <c r="K321" s="169">
        <v>0</v>
      </c>
      <c r="L321" s="113">
        <f>ROUND(K321*Valores!$C$2,2)</f>
        <v>0</v>
      </c>
      <c r="M321" s="113">
        <f>ROUND(IF($H$2=0,IF(AND(A321&lt;&gt;"13-930",A321&lt;&gt;"13-940"),(SUM(F321,L321,W321,S321,Q321)*Valores!$C$4),0),0),2)</f>
        <v>0</v>
      </c>
      <c r="N321" s="113">
        <f t="shared" si="54"/>
        <v>0</v>
      </c>
      <c r="O321" s="113">
        <f>Valores!C$63*B321</f>
        <v>6846.24</v>
      </c>
      <c r="P321" s="113">
        <v>0</v>
      </c>
      <c r="Q321" s="113">
        <f>IF($F$4="NO",Valores!$C$29,Valores!$C$29/2)</f>
        <v>2597.48</v>
      </c>
      <c r="R321" s="113">
        <v>0</v>
      </c>
      <c r="S321" s="113">
        <f t="shared" si="55"/>
        <v>0</v>
      </c>
      <c r="T321" s="113">
        <v>0</v>
      </c>
      <c r="U321" s="113">
        <v>0</v>
      </c>
      <c r="V321" s="169">
        <v>0</v>
      </c>
      <c r="W321" s="113">
        <f>ROUND(V321*Valores!$C$2,2)</f>
        <v>0</v>
      </c>
      <c r="X321" s="113">
        <v>0</v>
      </c>
      <c r="Y321" s="188">
        <v>0</v>
      </c>
      <c r="Z321" s="113">
        <v>0</v>
      </c>
      <c r="AA321" s="169">
        <v>0</v>
      </c>
      <c r="AB321" s="113">
        <f>ROUND(AA321*Valores!$C$2,2)</f>
        <v>0</v>
      </c>
      <c r="AC321" s="113">
        <f>ROUND(IF($F$4="NO",Valores!$C$34*B321,Valores!$C$34*B321/2),2)</f>
        <v>2353.7600000000002</v>
      </c>
      <c r="AD321" s="113">
        <f>SUM(F321,H321,J321,L321,M321,N321,O321,P321,Q321,S321,T321,U321,W321,X321,Z321,AB321,AC321)*Valores!$C$58</f>
        <v>3869.4130000000005</v>
      </c>
      <c r="AE321" s="113">
        <f>SUM(F321,H321,J321,L321,M321,N321,O321,P321,Q321,S321,T321,U321,W321,X321,Z321,AB321,AC321,AD321)</f>
        <v>42563.543000000005</v>
      </c>
      <c r="AF321" s="113">
        <f>Valores!$C$14</f>
        <v>4857.07</v>
      </c>
      <c r="AG321" s="113">
        <f>AE321*Valores!$C$60*Valores!$C$61</f>
        <v>0</v>
      </c>
      <c r="AH321" s="113">
        <f t="shared" si="45"/>
        <v>4857.07</v>
      </c>
      <c r="AI321" s="113">
        <f>AE321*Valores!$C$39</f>
        <v>-4681.9897300000002</v>
      </c>
      <c r="AJ321" s="113">
        <f>IF(AE321&lt;Valores!$E$40,-0.02,IF(AE321&lt;Valores!$F$40,-0.03,-0.04))*AE321</f>
        <v>-851.27086000000008</v>
      </c>
      <c r="AK321" s="113">
        <f>AE321*Valores!$C$42</f>
        <v>-2340.9948650000001</v>
      </c>
      <c r="AL321" s="113">
        <v>0</v>
      </c>
      <c r="AM321" s="113">
        <v>0</v>
      </c>
      <c r="AN321" s="113">
        <f t="shared" si="50"/>
        <v>39546.357545000006</v>
      </c>
      <c r="AO321" s="113">
        <f t="shared" si="44"/>
        <v>-4681.9897300000002</v>
      </c>
      <c r="AP321" s="113">
        <f t="shared" si="51"/>
        <v>-851.27086000000008</v>
      </c>
      <c r="AQ321" s="113">
        <f>AE321*Valores!$C$43</f>
        <v>-1149.2156610000002</v>
      </c>
      <c r="AR321" s="113">
        <f>AE321*Valores!$C$44</f>
        <v>-127.69062900000002</v>
      </c>
      <c r="AS321" s="113">
        <f t="shared" si="46"/>
        <v>40610.446120000008</v>
      </c>
      <c r="AT321" s="113">
        <f>AE321*Valores!$C$46</f>
        <v>6810.1668800000007</v>
      </c>
      <c r="AU321" s="113">
        <f>AE321*Valores!$C$47</f>
        <v>2979.4480100000005</v>
      </c>
      <c r="AV321" s="113">
        <f>AE321*Valores!$C$48</f>
        <v>425.63543000000004</v>
      </c>
      <c r="AW321" s="113">
        <f>AE321*Valores!$C$50</f>
        <v>1489.7240050000003</v>
      </c>
      <c r="AX321" s="113">
        <f>AE321*Valores!$C$52</f>
        <v>2298.4313220000004</v>
      </c>
      <c r="AY321" s="113">
        <f>AE321*Valores!$C$51</f>
        <v>255.38125800000003</v>
      </c>
      <c r="AZ321" s="114"/>
      <c r="BA321" s="114"/>
      <c r="BB321" s="111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  <c r="EO321" s="100"/>
      <c r="EP321" s="100"/>
      <c r="EQ321" s="100"/>
      <c r="ER321" s="100"/>
      <c r="ES321" s="100"/>
      <c r="ET321" s="100"/>
      <c r="EU321" s="100"/>
      <c r="EV321" s="100"/>
      <c r="EW321" s="100"/>
      <c r="EX321" s="100"/>
      <c r="EY321" s="100"/>
      <c r="EZ321" s="100"/>
      <c r="FA321" s="100"/>
      <c r="FB321" s="100"/>
      <c r="FC321" s="100"/>
      <c r="FD321" s="100"/>
      <c r="FE321" s="100"/>
      <c r="FF321" s="100"/>
      <c r="FG321" s="100"/>
      <c r="FH321" s="100"/>
      <c r="FI321" s="100"/>
      <c r="FJ321" s="100"/>
      <c r="FK321" s="100"/>
      <c r="FL321" s="100"/>
      <c r="FM321" s="100"/>
      <c r="FN321" s="100"/>
      <c r="FO321" s="100"/>
      <c r="FP321" s="100"/>
      <c r="FQ321" s="100"/>
      <c r="FR321" s="100"/>
      <c r="FS321" s="100"/>
      <c r="FT321" s="100"/>
      <c r="FU321" s="100"/>
      <c r="FV321" s="100"/>
      <c r="FW321" s="100"/>
      <c r="FX321" s="100"/>
      <c r="FY321" s="100"/>
      <c r="FZ321" s="100"/>
      <c r="GA321" s="100"/>
      <c r="GB321" s="100"/>
      <c r="GC321" s="100"/>
      <c r="GD321" s="100"/>
      <c r="GE321" s="100"/>
      <c r="GF321" s="100"/>
      <c r="GG321" s="100"/>
      <c r="GH321" s="100"/>
      <c r="GI321" s="100"/>
      <c r="GJ321" s="100"/>
      <c r="GK321" s="100"/>
      <c r="GL321" s="100"/>
      <c r="GM321" s="100"/>
      <c r="GN321" s="100"/>
      <c r="GO321" s="100"/>
      <c r="GP321" s="100"/>
      <c r="GQ321" s="100"/>
      <c r="GR321" s="100"/>
      <c r="GS321" s="100"/>
      <c r="GT321" s="100"/>
      <c r="GU321" s="100"/>
      <c r="GV321" s="100"/>
      <c r="GW321" s="100"/>
      <c r="GX321" s="100"/>
      <c r="GY321" s="100"/>
      <c r="GZ321" s="100"/>
      <c r="HA321" s="100"/>
      <c r="HB321" s="100"/>
      <c r="HC321" s="100"/>
      <c r="HD321" s="100"/>
      <c r="HE321" s="100"/>
      <c r="HF321" s="100"/>
      <c r="HG321" s="100"/>
      <c r="HH321" s="100"/>
      <c r="HI321" s="100"/>
      <c r="HJ321" s="100"/>
      <c r="HK321" s="100"/>
      <c r="HL321" s="100"/>
      <c r="HM321" s="100"/>
      <c r="HN321" s="100"/>
      <c r="HO321" s="100"/>
      <c r="HP321" s="100"/>
      <c r="HQ321" s="100"/>
      <c r="HR321" s="100"/>
      <c r="HS321" s="100"/>
      <c r="HT321" s="100"/>
      <c r="HU321" s="100"/>
      <c r="HV321" s="100"/>
      <c r="HW321" s="100"/>
      <c r="HX321" s="100"/>
      <c r="HY321" s="100"/>
      <c r="HZ321" s="100"/>
      <c r="IA321" s="100"/>
      <c r="IB321" s="100"/>
      <c r="IC321" s="100"/>
      <c r="ID321" s="100"/>
      <c r="IE321" s="100"/>
      <c r="IF321" s="100"/>
      <c r="IG321" s="100"/>
      <c r="IH321" s="100"/>
      <c r="II321" s="100"/>
      <c r="IJ321" s="100"/>
      <c r="IK321" s="100"/>
      <c r="IL321" s="100"/>
      <c r="IM321" s="100"/>
      <c r="IN321" s="100"/>
      <c r="IO321" s="100"/>
      <c r="IP321" s="100"/>
      <c r="IQ321" s="100"/>
      <c r="IR321" s="100"/>
      <c r="IS321" s="100"/>
      <c r="IT321" s="100"/>
      <c r="IU321" s="100"/>
      <c r="IV321" s="100"/>
      <c r="IW321" s="100"/>
      <c r="IX321" s="100"/>
      <c r="IY321" s="100"/>
      <c r="IZ321" s="100"/>
      <c r="JA321" s="100"/>
      <c r="JB321" s="100"/>
      <c r="JC321" s="100"/>
      <c r="JD321" s="100"/>
      <c r="JE321" s="100"/>
      <c r="JF321" s="100"/>
      <c r="JG321" s="100"/>
      <c r="JH321" s="100"/>
      <c r="JI321" s="100"/>
      <c r="JJ321" s="100"/>
      <c r="JK321" s="100"/>
      <c r="JL321" s="100"/>
      <c r="JM321" s="100"/>
      <c r="JN321" s="100"/>
      <c r="JO321" s="100"/>
      <c r="JP321" s="100"/>
      <c r="JQ321" s="100"/>
      <c r="JR321" s="100"/>
      <c r="JS321" s="100"/>
      <c r="JT321" s="100"/>
      <c r="JU321" s="100"/>
      <c r="JV321" s="100"/>
      <c r="JW321" s="100"/>
      <c r="JX321" s="100"/>
      <c r="JY321" s="100"/>
      <c r="JZ321" s="100"/>
      <c r="KA321" s="100"/>
      <c r="KB321" s="100"/>
      <c r="KC321" s="100"/>
      <c r="KD321" s="100"/>
      <c r="KE321" s="100"/>
      <c r="KF321" s="100"/>
      <c r="KG321" s="100"/>
      <c r="KH321" s="100"/>
      <c r="KI321" s="100"/>
      <c r="KJ321" s="100"/>
      <c r="KK321" s="100"/>
      <c r="KL321" s="100"/>
      <c r="KM321" s="100"/>
      <c r="KN321" s="100"/>
      <c r="KO321" s="100"/>
      <c r="KP321" s="100"/>
      <c r="KQ321" s="100"/>
      <c r="KR321" s="100"/>
      <c r="KS321" s="100"/>
      <c r="KT321" s="100"/>
      <c r="KU321" s="100"/>
      <c r="KV321" s="100"/>
      <c r="KW321" s="100"/>
      <c r="KX321" s="100"/>
      <c r="KY321" s="100"/>
      <c r="KZ321" s="100"/>
      <c r="LA321" s="100"/>
      <c r="LB321" s="100"/>
      <c r="LC321" s="100"/>
      <c r="LD321" s="100"/>
      <c r="LE321" s="100"/>
      <c r="LF321" s="100"/>
      <c r="LG321" s="100"/>
      <c r="LH321" s="100"/>
      <c r="LI321" s="100"/>
      <c r="LJ321" s="100"/>
      <c r="LK321" s="100"/>
      <c r="LL321" s="100"/>
      <c r="LM321" s="100"/>
      <c r="LN321" s="100"/>
      <c r="LO321" s="100"/>
      <c r="LP321" s="100"/>
      <c r="LQ321" s="100"/>
      <c r="LR321" s="100"/>
      <c r="LS321" s="100"/>
      <c r="LT321" s="100"/>
      <c r="LU321" s="100"/>
      <c r="LV321" s="100"/>
      <c r="LW321" s="100"/>
      <c r="LX321" s="100"/>
      <c r="LY321" s="100"/>
      <c r="LZ321" s="100"/>
      <c r="MA321" s="100"/>
      <c r="MB321" s="100"/>
      <c r="MC321" s="100"/>
      <c r="MD321" s="100"/>
      <c r="ME321" s="100"/>
      <c r="MF321" s="100"/>
      <c r="MG321" s="100"/>
      <c r="MH321" s="100"/>
      <c r="MI321" s="100"/>
      <c r="MJ321" s="100"/>
      <c r="MK321" s="100"/>
      <c r="ML321" s="100"/>
      <c r="MM321" s="100"/>
      <c r="MN321" s="100"/>
      <c r="MO321" s="100"/>
      <c r="MP321" s="100"/>
      <c r="MQ321" s="100"/>
      <c r="MR321" s="100"/>
      <c r="MS321" s="100"/>
      <c r="MT321" s="100"/>
      <c r="MU321" s="100"/>
      <c r="MV321" s="100"/>
      <c r="MW321" s="100"/>
      <c r="MX321" s="100"/>
      <c r="MY321" s="100"/>
      <c r="MZ321" s="100"/>
      <c r="NA321" s="100"/>
      <c r="NB321" s="100"/>
      <c r="NC321" s="100"/>
      <c r="ND321" s="100"/>
      <c r="NE321" s="100"/>
      <c r="NF321" s="100"/>
      <c r="NG321" s="100"/>
      <c r="NH321" s="100"/>
      <c r="NI321" s="100"/>
      <c r="NJ321" s="100"/>
      <c r="NK321" s="100"/>
      <c r="NL321" s="100"/>
      <c r="NM321" s="100"/>
      <c r="NN321" s="100"/>
      <c r="NO321" s="100"/>
      <c r="NP321" s="100"/>
      <c r="NQ321" s="100"/>
      <c r="NR321" s="100"/>
      <c r="NS321" s="100"/>
      <c r="NT321" s="100"/>
      <c r="NU321" s="100"/>
      <c r="NV321" s="100"/>
      <c r="NW321" s="100"/>
      <c r="NX321" s="100"/>
      <c r="NY321" s="100"/>
      <c r="NZ321" s="100"/>
      <c r="OA321" s="100"/>
      <c r="OB321" s="100"/>
      <c r="OC321" s="100"/>
      <c r="OD321" s="100"/>
      <c r="OE321" s="100"/>
      <c r="OF321" s="100"/>
      <c r="OG321" s="100"/>
      <c r="OH321" s="100"/>
      <c r="OI321" s="100"/>
      <c r="OJ321" s="100"/>
      <c r="OK321" s="100"/>
      <c r="OL321" s="100"/>
      <c r="OM321" s="100"/>
      <c r="ON321" s="100"/>
      <c r="OO321" s="100"/>
      <c r="OP321" s="100"/>
      <c r="OQ321" s="100"/>
      <c r="OR321" s="100"/>
      <c r="OS321" s="100"/>
      <c r="OT321" s="100"/>
      <c r="OU321" s="100"/>
      <c r="OV321" s="100"/>
      <c r="OW321" s="100"/>
      <c r="OX321" s="100"/>
      <c r="OY321" s="100"/>
      <c r="OZ321" s="100"/>
      <c r="PA321" s="100"/>
      <c r="PB321" s="100"/>
      <c r="PC321" s="100"/>
      <c r="PD321" s="100"/>
      <c r="PE321" s="100"/>
      <c r="PF321" s="100"/>
      <c r="PG321" s="100"/>
      <c r="PH321" s="100"/>
      <c r="PI321" s="100"/>
      <c r="PJ321" s="100"/>
      <c r="PK321" s="100"/>
      <c r="PL321" s="100"/>
      <c r="PM321" s="100"/>
      <c r="PN321" s="100"/>
      <c r="PO321" s="100"/>
      <c r="PP321" s="100"/>
      <c r="PQ321" s="100"/>
      <c r="PR321" s="100"/>
      <c r="PS321" s="100"/>
      <c r="PT321" s="100"/>
      <c r="PU321" s="100"/>
      <c r="PV321" s="100"/>
      <c r="PW321" s="100"/>
      <c r="PX321" s="100"/>
      <c r="PY321" s="100"/>
      <c r="PZ321" s="100"/>
      <c r="QA321" s="100"/>
      <c r="QB321" s="100"/>
      <c r="QC321" s="100"/>
      <c r="QD321" s="100"/>
      <c r="QE321" s="100"/>
      <c r="QF321" s="100"/>
      <c r="QG321" s="100"/>
      <c r="QH321" s="100"/>
      <c r="QI321" s="100"/>
      <c r="QJ321" s="100"/>
      <c r="QK321" s="100"/>
      <c r="QL321" s="100"/>
      <c r="QM321" s="100"/>
      <c r="QN321" s="100"/>
      <c r="QO321" s="100"/>
      <c r="QP321" s="100"/>
      <c r="QQ321" s="100"/>
      <c r="QR321" s="100"/>
      <c r="QS321" s="100"/>
      <c r="QT321" s="100"/>
      <c r="QU321" s="100"/>
      <c r="QV321" s="100"/>
      <c r="QW321" s="100"/>
      <c r="QX321" s="100"/>
      <c r="QY321" s="100"/>
      <c r="QZ321" s="100"/>
      <c r="RA321" s="100"/>
      <c r="RB321" s="100"/>
      <c r="RC321" s="100"/>
      <c r="RD321" s="100"/>
      <c r="RE321" s="100"/>
      <c r="RF321" s="100"/>
      <c r="RG321" s="100"/>
      <c r="RH321" s="100"/>
      <c r="RI321" s="100"/>
      <c r="RJ321" s="100"/>
      <c r="RK321" s="100"/>
      <c r="RL321" s="100"/>
      <c r="RM321" s="100"/>
      <c r="RN321" s="100"/>
      <c r="RO321" s="100"/>
      <c r="RP321" s="100"/>
      <c r="RQ321" s="100"/>
      <c r="RR321" s="100"/>
      <c r="RS321" s="100"/>
      <c r="RT321" s="100"/>
      <c r="RU321" s="100"/>
      <c r="RV321" s="100"/>
      <c r="RW321" s="100"/>
      <c r="RX321" s="100"/>
      <c r="RY321" s="100"/>
      <c r="RZ321" s="100"/>
      <c r="SA321" s="100"/>
      <c r="SB321" s="100"/>
      <c r="SC321" s="100"/>
      <c r="SD321" s="100"/>
      <c r="SE321" s="100"/>
      <c r="SF321" s="100"/>
      <c r="SG321" s="100"/>
      <c r="SH321" s="100"/>
      <c r="SI321" s="100"/>
      <c r="SJ321" s="100"/>
      <c r="SK321" s="100"/>
      <c r="SL321" s="100"/>
      <c r="SM321" s="100"/>
      <c r="SN321" s="100"/>
      <c r="SO321" s="100"/>
      <c r="SP321" s="100"/>
      <c r="SQ321" s="100"/>
      <c r="SR321" s="100"/>
      <c r="SS321" s="100"/>
      <c r="ST321" s="100"/>
      <c r="SU321" s="100"/>
      <c r="SV321" s="100"/>
      <c r="SW321" s="100"/>
      <c r="SX321" s="100"/>
      <c r="SY321" s="100"/>
      <c r="SZ321" s="100"/>
      <c r="TA321" s="100"/>
      <c r="TB321" s="100"/>
      <c r="TC321" s="100"/>
      <c r="TD321" s="100"/>
      <c r="TE321" s="100"/>
      <c r="TF321" s="100"/>
      <c r="TG321" s="100"/>
      <c r="TH321" s="100"/>
      <c r="TI321" s="100"/>
      <c r="TJ321" s="100"/>
      <c r="TK321" s="100"/>
      <c r="TL321" s="100"/>
      <c r="TM321" s="100"/>
      <c r="TN321" s="100"/>
      <c r="TO321" s="100"/>
      <c r="TP321" s="100"/>
      <c r="TQ321" s="100"/>
      <c r="TR321" s="100"/>
      <c r="TS321" s="100"/>
      <c r="TT321" s="100"/>
      <c r="TU321" s="100"/>
      <c r="TV321" s="100"/>
      <c r="TW321" s="100"/>
      <c r="TX321" s="100"/>
      <c r="TY321" s="100"/>
      <c r="TZ321" s="100"/>
      <c r="UA321" s="100"/>
      <c r="UB321" s="100"/>
      <c r="UC321" s="100"/>
      <c r="UD321" s="100"/>
      <c r="UE321" s="100"/>
      <c r="UF321" s="100"/>
      <c r="UG321" s="100"/>
      <c r="UH321" s="100"/>
      <c r="UI321" s="100"/>
      <c r="UJ321" s="100"/>
      <c r="UK321" s="100"/>
      <c r="UL321" s="100"/>
      <c r="UM321" s="100"/>
      <c r="UN321" s="100"/>
      <c r="UO321" s="100"/>
      <c r="UP321" s="100"/>
      <c r="UQ321" s="100"/>
      <c r="UR321" s="100"/>
      <c r="US321" s="100"/>
      <c r="UT321" s="100"/>
      <c r="UU321" s="100"/>
      <c r="UV321" s="100"/>
      <c r="UW321" s="100"/>
      <c r="UX321" s="100"/>
      <c r="UY321" s="100"/>
      <c r="UZ321" s="100"/>
      <c r="VA321" s="100"/>
      <c r="VB321" s="100"/>
      <c r="VC321" s="100"/>
      <c r="VD321" s="100"/>
      <c r="VE321" s="100"/>
      <c r="VF321" s="100"/>
      <c r="VG321" s="100"/>
      <c r="VH321" s="100"/>
      <c r="VI321" s="100"/>
      <c r="VJ321" s="100"/>
      <c r="VK321" s="100"/>
      <c r="VL321" s="100"/>
      <c r="VM321" s="100"/>
      <c r="VN321" s="100"/>
      <c r="VO321" s="100"/>
      <c r="VP321" s="100"/>
      <c r="VQ321" s="100"/>
      <c r="VR321" s="100"/>
      <c r="VS321" s="100"/>
      <c r="VT321" s="100"/>
      <c r="VU321" s="100"/>
      <c r="VV321" s="100"/>
      <c r="VW321" s="100"/>
      <c r="VX321" s="100"/>
      <c r="VY321" s="100"/>
      <c r="VZ321" s="100"/>
      <c r="WA321" s="100"/>
      <c r="WB321" s="100"/>
      <c r="WC321" s="100"/>
      <c r="WD321" s="100"/>
      <c r="WE321" s="100"/>
      <c r="WF321" s="100"/>
      <c r="WG321" s="100"/>
      <c r="WH321" s="100"/>
      <c r="WI321" s="100"/>
      <c r="WJ321" s="100"/>
      <c r="WK321" s="100"/>
      <c r="WL321" s="100"/>
      <c r="WM321" s="100"/>
      <c r="WN321" s="100"/>
      <c r="WO321" s="100"/>
      <c r="WP321" s="100"/>
      <c r="WQ321" s="100"/>
      <c r="WR321" s="100"/>
      <c r="WS321" s="100"/>
      <c r="WT321" s="100"/>
      <c r="WU321" s="100"/>
      <c r="WV321" s="100"/>
      <c r="WW321" s="100"/>
      <c r="WX321" s="100"/>
      <c r="WY321" s="100"/>
      <c r="WZ321" s="100"/>
      <c r="XA321" s="100"/>
      <c r="XB321" s="100"/>
      <c r="XC321" s="100"/>
      <c r="XD321" s="100"/>
      <c r="XE321" s="100"/>
      <c r="XF321" s="100"/>
      <c r="XG321" s="100"/>
      <c r="XH321" s="100"/>
      <c r="XI321" s="100"/>
      <c r="XJ321" s="100"/>
      <c r="XK321" s="100"/>
      <c r="XL321" s="100"/>
      <c r="XM321" s="100"/>
      <c r="XN321" s="100"/>
      <c r="XO321" s="100"/>
      <c r="XP321" s="100"/>
      <c r="XQ321" s="100"/>
      <c r="XR321" s="100"/>
      <c r="XS321" s="100"/>
      <c r="XT321" s="100"/>
      <c r="XU321" s="100"/>
      <c r="XV321" s="100"/>
      <c r="XW321" s="100"/>
      <c r="XX321" s="100"/>
      <c r="XY321" s="100"/>
      <c r="XZ321" s="100"/>
      <c r="YA321" s="100"/>
      <c r="YB321" s="100"/>
      <c r="YC321" s="100"/>
      <c r="YD321" s="100"/>
      <c r="YE321" s="100"/>
      <c r="YF321" s="100"/>
      <c r="YG321" s="100"/>
      <c r="YH321" s="100"/>
      <c r="YI321" s="100"/>
      <c r="YJ321" s="100"/>
      <c r="YK321" s="100"/>
      <c r="YL321" s="100"/>
      <c r="YM321" s="100"/>
      <c r="YN321" s="100"/>
      <c r="YO321" s="100"/>
      <c r="YP321" s="100"/>
      <c r="YQ321" s="100"/>
      <c r="YR321" s="100"/>
      <c r="YS321" s="100"/>
      <c r="YT321" s="100"/>
      <c r="YU321" s="100"/>
      <c r="YV321" s="100"/>
      <c r="YW321" s="100"/>
      <c r="YX321" s="100"/>
      <c r="YY321" s="100"/>
      <c r="YZ321" s="100"/>
      <c r="ZA321" s="100"/>
      <c r="ZB321" s="100"/>
      <c r="ZC321" s="100"/>
      <c r="ZD321" s="100"/>
      <c r="ZE321" s="100"/>
      <c r="ZF321" s="100"/>
      <c r="ZG321" s="100"/>
      <c r="ZH321" s="100"/>
      <c r="ZI321" s="100"/>
      <c r="ZJ321" s="100"/>
      <c r="ZK321" s="100"/>
      <c r="ZL321" s="100"/>
      <c r="ZM321" s="100"/>
      <c r="ZN321" s="100"/>
      <c r="ZO321" s="100"/>
      <c r="ZP321" s="100"/>
      <c r="ZQ321" s="100"/>
      <c r="ZR321" s="100"/>
      <c r="ZS321" s="100"/>
      <c r="ZT321" s="100"/>
      <c r="ZU321" s="100"/>
      <c r="ZV321" s="100"/>
      <c r="ZW321" s="100"/>
      <c r="ZX321" s="100"/>
      <c r="ZY321" s="100"/>
      <c r="ZZ321" s="100"/>
      <c r="AAA321" s="100"/>
      <c r="AAB321" s="100"/>
      <c r="AAC321" s="100"/>
      <c r="AAD321" s="100"/>
      <c r="AAE321" s="100"/>
      <c r="AAF321" s="100"/>
      <c r="AAG321" s="100"/>
      <c r="AAH321" s="100"/>
      <c r="AAI321" s="100"/>
      <c r="AAJ321" s="100"/>
      <c r="AAK321" s="100"/>
      <c r="AAL321" s="100"/>
      <c r="AAM321" s="100"/>
      <c r="AAN321" s="100"/>
      <c r="AAO321" s="100"/>
      <c r="AAP321" s="100"/>
      <c r="AAQ321" s="100"/>
      <c r="AAR321" s="100"/>
      <c r="AAS321" s="100"/>
      <c r="AAT321" s="100"/>
      <c r="AAU321" s="100"/>
      <c r="AAV321" s="100"/>
      <c r="AAW321" s="100"/>
      <c r="AAX321" s="100"/>
      <c r="AAY321" s="100"/>
      <c r="AAZ321" s="100"/>
      <c r="ABA321" s="100"/>
      <c r="ABB321" s="100"/>
      <c r="ABC321" s="100"/>
      <c r="ABD321" s="100"/>
      <c r="ABE321" s="100"/>
      <c r="ABF321" s="100"/>
      <c r="ABG321" s="100"/>
      <c r="ABH321" s="100"/>
      <c r="ABI321" s="100"/>
      <c r="ABJ321" s="100"/>
      <c r="ABK321" s="100"/>
      <c r="ABL321" s="100"/>
      <c r="ABM321" s="100"/>
      <c r="ABN321" s="100"/>
      <c r="ABO321" s="100"/>
      <c r="ABP321" s="100"/>
      <c r="ABQ321" s="100"/>
      <c r="ABR321" s="100"/>
      <c r="ABS321" s="100"/>
      <c r="ABT321" s="100"/>
      <c r="ABU321" s="100"/>
      <c r="ABV321" s="100"/>
      <c r="ABW321" s="100"/>
      <c r="ABX321" s="100"/>
      <c r="ABY321" s="100"/>
      <c r="ABZ321" s="100"/>
      <c r="ACA321" s="100"/>
      <c r="ACB321" s="100"/>
      <c r="ACC321" s="100"/>
      <c r="ACD321" s="100"/>
      <c r="ACE321" s="100"/>
      <c r="ACF321" s="100"/>
      <c r="ACG321" s="100"/>
      <c r="ACH321" s="100"/>
      <c r="ACI321" s="100"/>
      <c r="ACJ321" s="100"/>
      <c r="ACK321" s="100"/>
      <c r="ACL321" s="100"/>
      <c r="ACM321" s="100"/>
      <c r="ACN321" s="100"/>
      <c r="ACO321" s="100"/>
      <c r="ACP321" s="100"/>
      <c r="ACQ321" s="100"/>
      <c r="ACR321" s="100"/>
      <c r="ACS321" s="100"/>
      <c r="ACT321" s="100"/>
      <c r="ACU321" s="100"/>
      <c r="ACV321" s="100"/>
      <c r="ACW321" s="100"/>
      <c r="ACX321" s="100"/>
      <c r="ACY321" s="100"/>
      <c r="ACZ321" s="100"/>
      <c r="ADA321" s="100"/>
      <c r="ADB321" s="100"/>
      <c r="ADC321" s="100"/>
      <c r="ADD321" s="100"/>
      <c r="ADE321" s="100"/>
      <c r="ADF321" s="100"/>
      <c r="ADG321" s="100"/>
      <c r="ADH321" s="100"/>
      <c r="ADI321" s="100"/>
      <c r="ADJ321" s="100"/>
      <c r="ADK321" s="100"/>
      <c r="ADL321" s="100"/>
      <c r="ADM321" s="100"/>
      <c r="ADN321" s="100"/>
      <c r="ADO321" s="100"/>
      <c r="ADP321" s="100"/>
      <c r="ADQ321" s="100"/>
      <c r="ADR321" s="100"/>
      <c r="ADS321" s="100"/>
      <c r="ADT321" s="100"/>
      <c r="ADU321" s="100"/>
      <c r="ADV321" s="100"/>
      <c r="ADW321" s="100"/>
      <c r="ADX321" s="100"/>
      <c r="ADY321" s="100"/>
      <c r="ADZ321" s="100"/>
      <c r="AEA321" s="100"/>
      <c r="AEB321" s="100"/>
      <c r="AEC321" s="100"/>
      <c r="AED321" s="100"/>
      <c r="AEE321" s="100"/>
      <c r="AEF321" s="100"/>
      <c r="AEG321" s="100"/>
      <c r="AEH321" s="100"/>
      <c r="AEI321" s="100"/>
      <c r="AEJ321" s="100"/>
      <c r="AEK321" s="100"/>
      <c r="AEL321" s="100"/>
      <c r="AEM321" s="100"/>
      <c r="AEN321" s="100"/>
      <c r="AEO321" s="100"/>
      <c r="AEP321" s="100"/>
      <c r="AEQ321" s="100"/>
      <c r="AER321" s="100"/>
      <c r="AES321" s="100"/>
      <c r="AET321" s="100"/>
      <c r="AEU321" s="100"/>
      <c r="AEV321" s="100"/>
      <c r="AEW321" s="100"/>
      <c r="AEX321" s="100"/>
      <c r="AEY321" s="100"/>
      <c r="AEZ321" s="100"/>
      <c r="AFA321" s="100"/>
      <c r="AFB321" s="100"/>
      <c r="AFC321" s="100"/>
      <c r="AFD321" s="100"/>
      <c r="AFE321" s="100"/>
      <c r="AFF321" s="100"/>
      <c r="AFG321" s="100"/>
      <c r="AFH321" s="100"/>
      <c r="AFI321" s="100"/>
      <c r="AFJ321" s="100"/>
      <c r="AFK321" s="100"/>
      <c r="AFL321" s="100"/>
      <c r="AFM321" s="100"/>
      <c r="AFN321" s="100"/>
      <c r="AFO321" s="100"/>
      <c r="AFP321" s="100"/>
      <c r="AFQ321" s="100"/>
      <c r="AFR321" s="100"/>
      <c r="AFS321" s="100"/>
      <c r="AFT321" s="100"/>
      <c r="AFU321" s="100"/>
      <c r="AFV321" s="100"/>
      <c r="AFW321" s="100"/>
      <c r="AFX321" s="100"/>
      <c r="AFY321" s="100"/>
      <c r="AFZ321" s="100"/>
      <c r="AGA321" s="100"/>
      <c r="AGB321" s="100"/>
      <c r="AGC321" s="100"/>
      <c r="AGD321" s="100"/>
      <c r="AGE321" s="100"/>
      <c r="AGF321" s="100"/>
      <c r="AGG321" s="100"/>
      <c r="AGH321" s="100"/>
      <c r="AGI321" s="100"/>
      <c r="AGJ321" s="100"/>
      <c r="AGK321" s="100"/>
      <c r="AGL321" s="100"/>
      <c r="AGM321" s="100"/>
      <c r="AGN321" s="100"/>
      <c r="AGO321" s="100"/>
      <c r="AGP321" s="100"/>
      <c r="AGQ321" s="100"/>
      <c r="AGR321" s="100"/>
      <c r="AGS321" s="100"/>
      <c r="AGT321" s="100"/>
      <c r="AGU321" s="100"/>
      <c r="AGV321" s="100"/>
      <c r="AGW321" s="100"/>
      <c r="AGX321" s="100"/>
      <c r="AGY321" s="100"/>
      <c r="AGZ321" s="100"/>
      <c r="AHA321" s="100"/>
      <c r="AHB321" s="100"/>
      <c r="AHC321" s="100"/>
      <c r="AHD321" s="100"/>
      <c r="AHE321" s="100"/>
      <c r="AHF321" s="100"/>
      <c r="AHG321" s="100"/>
      <c r="AHH321" s="100"/>
      <c r="AHI321" s="100"/>
      <c r="AHJ321" s="100"/>
      <c r="AHK321" s="100"/>
      <c r="AHL321" s="100"/>
      <c r="AHM321" s="100"/>
      <c r="AHN321" s="100"/>
      <c r="AHO321" s="100"/>
      <c r="AHP321" s="100"/>
      <c r="AHQ321" s="100"/>
      <c r="AHR321" s="100"/>
      <c r="AHS321" s="100"/>
      <c r="AHT321" s="100"/>
      <c r="AHU321" s="100"/>
      <c r="AHV321" s="100"/>
      <c r="AHW321" s="100"/>
      <c r="AHX321" s="100"/>
      <c r="AHY321" s="100"/>
      <c r="AHZ321" s="100"/>
      <c r="AIA321" s="100"/>
      <c r="AIB321" s="100"/>
      <c r="AIC321" s="100"/>
      <c r="AID321" s="100"/>
      <c r="AIE321" s="100"/>
      <c r="AIF321" s="100"/>
      <c r="AIG321" s="100"/>
      <c r="AIH321" s="100"/>
      <c r="AII321" s="100"/>
      <c r="AIJ321" s="100"/>
      <c r="AIK321" s="100"/>
      <c r="AIL321" s="100"/>
      <c r="AIM321" s="100"/>
      <c r="AIN321" s="100"/>
      <c r="AIO321" s="100"/>
      <c r="AIP321" s="100"/>
      <c r="AIQ321" s="100"/>
      <c r="AIR321" s="100"/>
      <c r="AIS321" s="100"/>
      <c r="AIT321" s="100"/>
      <c r="AIU321" s="100"/>
      <c r="AIV321" s="100"/>
      <c r="AIW321" s="100"/>
      <c r="AIX321" s="100"/>
      <c r="AIY321" s="100"/>
      <c r="AIZ321" s="100"/>
      <c r="AJA321" s="100"/>
      <c r="AJB321" s="100"/>
      <c r="AJC321" s="100"/>
      <c r="AJD321" s="100"/>
      <c r="AJE321" s="100"/>
      <c r="AJF321" s="100"/>
      <c r="AJG321" s="100"/>
      <c r="AJH321" s="100"/>
      <c r="AJI321" s="100"/>
      <c r="AJJ321" s="100"/>
      <c r="AJK321" s="100"/>
      <c r="AJL321" s="100"/>
      <c r="AJM321" s="100"/>
      <c r="AJN321" s="100"/>
      <c r="AJO321" s="100"/>
      <c r="AJP321" s="100"/>
      <c r="AJQ321" s="100"/>
      <c r="AJR321" s="100"/>
      <c r="AJS321" s="100"/>
      <c r="AJT321" s="100"/>
      <c r="AJU321" s="100"/>
      <c r="AJV321" s="100"/>
      <c r="AJW321" s="100"/>
      <c r="AJX321" s="100"/>
      <c r="AJY321" s="100"/>
      <c r="AJZ321" s="100"/>
      <c r="AKA321" s="100"/>
      <c r="AKB321" s="100"/>
      <c r="AKC321" s="100"/>
      <c r="AKD321" s="100"/>
      <c r="AKE321" s="100"/>
      <c r="AKF321" s="100"/>
      <c r="AKG321" s="100"/>
      <c r="AKH321" s="100"/>
      <c r="AKI321" s="100"/>
      <c r="AKJ321" s="100"/>
      <c r="AKK321" s="100"/>
      <c r="AKL321" s="100"/>
      <c r="AKM321" s="100"/>
      <c r="AKN321" s="100"/>
      <c r="AKO321" s="100"/>
      <c r="AKP321" s="100"/>
      <c r="AKQ321" s="100"/>
      <c r="AKR321" s="100"/>
      <c r="AKS321" s="100"/>
      <c r="AKT321" s="100"/>
      <c r="AKU321" s="100"/>
      <c r="AKV321" s="100"/>
      <c r="AKW321" s="100"/>
      <c r="AKX321" s="100"/>
      <c r="AKY321" s="100"/>
      <c r="AKZ321" s="100"/>
      <c r="ALA321" s="100"/>
      <c r="ALB321" s="100"/>
      <c r="ALC321" s="100"/>
      <c r="ALD321" s="100"/>
      <c r="ALE321" s="100"/>
      <c r="ALF321" s="100"/>
      <c r="ALG321" s="100"/>
      <c r="ALH321" s="100"/>
      <c r="ALI321" s="100"/>
      <c r="ALJ321" s="100"/>
      <c r="ALK321" s="100"/>
      <c r="ALL321" s="100"/>
      <c r="ALM321" s="100"/>
      <c r="ALN321" s="100"/>
      <c r="ALO321" s="100"/>
      <c r="ALP321" s="100"/>
      <c r="ALQ321" s="100"/>
      <c r="ALR321" s="100"/>
      <c r="ALS321" s="100"/>
      <c r="ALT321" s="100"/>
      <c r="ALU321" s="100"/>
      <c r="ALV321" s="100"/>
      <c r="ALW321" s="100"/>
      <c r="ALX321" s="100"/>
      <c r="ALY321" s="100"/>
      <c r="ALZ321" s="100"/>
      <c r="AMA321" s="100"/>
      <c r="AMB321" s="100"/>
      <c r="AMC321" s="100"/>
      <c r="AMD321" s="100"/>
    </row>
    <row r="322" spans="1:1018" s="127" customFormat="1" ht="11.25" customHeight="1" x14ac:dyDescent="0.15">
      <c r="A322" s="129" t="s">
        <v>436</v>
      </c>
      <c r="B322" s="126">
        <v>1</v>
      </c>
      <c r="C322" s="114">
        <v>315</v>
      </c>
      <c r="D322" s="115" t="s">
        <v>458</v>
      </c>
      <c r="E322" s="171">
        <v>245</v>
      </c>
      <c r="F322" s="113">
        <f>ROUND(E322*Valores!$C$2,2)</f>
        <v>23962.47</v>
      </c>
      <c r="G322" s="169">
        <v>0</v>
      </c>
      <c r="H322" s="113">
        <f>ROUND(G322*Valores!$C$2,2)</f>
        <v>0</v>
      </c>
      <c r="I322" s="169">
        <v>0</v>
      </c>
      <c r="J322" s="113">
        <f>ROUND(I322*Valores!$C$2,2)</f>
        <v>0</v>
      </c>
      <c r="K322" s="169">
        <v>0</v>
      </c>
      <c r="L322" s="113">
        <f>ROUND(K322*Valores!$C$2,2)</f>
        <v>0</v>
      </c>
      <c r="M322" s="113">
        <f>ROUND(IF($H$2=0,IF(AND(A322&lt;&gt;"13-930",A322&lt;&gt;"13-940"),(SUM(F322,L322,W322,S322,Q322)*Valores!$C$4),0),0),2)</f>
        <v>0</v>
      </c>
      <c r="N322" s="113">
        <f t="shared" si="54"/>
        <v>0</v>
      </c>
      <c r="O322" s="113">
        <f>Valores!C$63*B322</f>
        <v>6846.24</v>
      </c>
      <c r="P322" s="113">
        <v>0</v>
      </c>
      <c r="Q322" s="113">
        <f>IF($F$4="NO",Valores!$C$29,Valores!$C$29/2)</f>
        <v>2597.48</v>
      </c>
      <c r="R322" s="113">
        <v>0</v>
      </c>
      <c r="S322" s="113">
        <f t="shared" si="55"/>
        <v>0</v>
      </c>
      <c r="T322" s="113">
        <v>0</v>
      </c>
      <c r="U322" s="113">
        <v>0</v>
      </c>
      <c r="V322" s="169">
        <v>0</v>
      </c>
      <c r="W322" s="113">
        <f>ROUND(V322*Valores!$C$2,2)</f>
        <v>0</v>
      </c>
      <c r="X322" s="113">
        <v>0</v>
      </c>
      <c r="Y322" s="188">
        <v>0</v>
      </c>
      <c r="Z322" s="113">
        <v>0</v>
      </c>
      <c r="AA322" s="169">
        <v>0</v>
      </c>
      <c r="AB322" s="113">
        <f>ROUND(AA322*Valores!$C$2,2)</f>
        <v>0</v>
      </c>
      <c r="AC322" s="113">
        <f>ROUND(IF($F$4="NO",Valores!$C$34*B322,Valores!$C$34*B322/2),2)</f>
        <v>2353.7600000000002</v>
      </c>
      <c r="AD322" s="113">
        <f>SUM(F322,H322,J322,L322,M322,N322,O322,P322,Q322,S322,T322,U322,W322,X322,Z322,AB322,AC322)*Valores!$C$58</f>
        <v>3575.9950000000008</v>
      </c>
      <c r="AE322" s="113">
        <f t="shared" si="49"/>
        <v>39335.945000000007</v>
      </c>
      <c r="AF322" s="113">
        <f>Valores!$C$14</f>
        <v>4857.07</v>
      </c>
      <c r="AG322" s="113">
        <f>AE322*Valores!$C$60*Valores!$C$61</f>
        <v>0</v>
      </c>
      <c r="AH322" s="113">
        <f t="shared" si="45"/>
        <v>4857.07</v>
      </c>
      <c r="AI322" s="113">
        <f>AE322*Valores!$C$39</f>
        <v>-4326.953950000001</v>
      </c>
      <c r="AJ322" s="113">
        <f>IF(AE322&lt;Valores!$E$40,-0.02,IF(AE322&lt;Valores!$F$40,-0.03,-0.04))*AE322</f>
        <v>-786.71890000000019</v>
      </c>
      <c r="AK322" s="113">
        <f>AE322*Valores!$C$42</f>
        <v>-2163.4769750000005</v>
      </c>
      <c r="AL322" s="113">
        <v>0</v>
      </c>
      <c r="AM322" s="113">
        <v>0</v>
      </c>
      <c r="AN322" s="113">
        <f t="shared" si="50"/>
        <v>36915.865175000006</v>
      </c>
      <c r="AO322" s="113">
        <f t="shared" si="44"/>
        <v>-4326.953950000001</v>
      </c>
      <c r="AP322" s="113">
        <f t="shared" si="51"/>
        <v>-786.71890000000019</v>
      </c>
      <c r="AQ322" s="113">
        <f>AE322*Valores!$C$43</f>
        <v>-1062.0705150000001</v>
      </c>
      <c r="AR322" s="113">
        <f>AE322*Valores!$C$44</f>
        <v>-118.00783500000003</v>
      </c>
      <c r="AS322" s="113">
        <f t="shared" si="46"/>
        <v>37899.263800000008</v>
      </c>
      <c r="AT322" s="113">
        <f>AE322*Valores!$C$46</f>
        <v>6293.7512000000015</v>
      </c>
      <c r="AU322" s="113">
        <f>AE322*Valores!$C$47</f>
        <v>2753.5161500000008</v>
      </c>
      <c r="AV322" s="113">
        <f>AE322*Valores!$C$48</f>
        <v>393.35945000000009</v>
      </c>
      <c r="AW322" s="113">
        <f>AE322*Valores!$C$50</f>
        <v>1376.7580750000004</v>
      </c>
      <c r="AX322" s="113">
        <f>AE322*Valores!$C$52</f>
        <v>2124.1410300000002</v>
      </c>
      <c r="AY322" s="113">
        <f>AE322*Valores!$C$51</f>
        <v>236.01567000000006</v>
      </c>
      <c r="AZ322" s="114"/>
      <c r="BA322" s="114"/>
      <c r="BB322" s="111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  <c r="EO322" s="100"/>
      <c r="EP322" s="100"/>
      <c r="EQ322" s="100"/>
      <c r="ER322" s="100"/>
      <c r="ES322" s="100"/>
      <c r="ET322" s="100"/>
      <c r="EU322" s="100"/>
      <c r="EV322" s="100"/>
      <c r="EW322" s="100"/>
      <c r="EX322" s="100"/>
      <c r="EY322" s="100"/>
      <c r="EZ322" s="100"/>
      <c r="FA322" s="100"/>
      <c r="FB322" s="100"/>
      <c r="FC322" s="100"/>
      <c r="FD322" s="100"/>
      <c r="FE322" s="100"/>
      <c r="FF322" s="100"/>
      <c r="FG322" s="100"/>
      <c r="FH322" s="100"/>
      <c r="FI322" s="100"/>
      <c r="FJ322" s="100"/>
      <c r="FK322" s="100"/>
      <c r="FL322" s="100"/>
      <c r="FM322" s="100"/>
      <c r="FN322" s="100"/>
      <c r="FO322" s="100"/>
      <c r="FP322" s="100"/>
      <c r="FQ322" s="100"/>
      <c r="FR322" s="100"/>
      <c r="FS322" s="100"/>
      <c r="FT322" s="100"/>
      <c r="FU322" s="100"/>
      <c r="FV322" s="100"/>
      <c r="FW322" s="100"/>
      <c r="FX322" s="100"/>
      <c r="FY322" s="100"/>
      <c r="FZ322" s="100"/>
      <c r="GA322" s="100"/>
      <c r="GB322" s="100"/>
      <c r="GC322" s="100"/>
      <c r="GD322" s="100"/>
      <c r="GE322" s="100"/>
      <c r="GF322" s="100"/>
      <c r="GG322" s="100"/>
      <c r="GH322" s="100"/>
      <c r="GI322" s="100"/>
      <c r="GJ322" s="100"/>
      <c r="GK322" s="100"/>
      <c r="GL322" s="100"/>
      <c r="GM322" s="100"/>
      <c r="GN322" s="100"/>
      <c r="GO322" s="100"/>
      <c r="GP322" s="100"/>
      <c r="GQ322" s="100"/>
      <c r="GR322" s="100"/>
      <c r="GS322" s="100"/>
      <c r="GT322" s="100"/>
      <c r="GU322" s="100"/>
      <c r="GV322" s="100"/>
      <c r="GW322" s="100"/>
      <c r="GX322" s="100"/>
      <c r="GY322" s="100"/>
      <c r="GZ322" s="100"/>
      <c r="HA322" s="100"/>
      <c r="HB322" s="100"/>
      <c r="HC322" s="100"/>
      <c r="HD322" s="100"/>
      <c r="HE322" s="100"/>
      <c r="HF322" s="100"/>
      <c r="HG322" s="100"/>
      <c r="HH322" s="100"/>
      <c r="HI322" s="100"/>
      <c r="HJ322" s="100"/>
      <c r="HK322" s="100"/>
      <c r="HL322" s="100"/>
      <c r="HM322" s="100"/>
      <c r="HN322" s="100"/>
      <c r="HO322" s="100"/>
      <c r="HP322" s="100"/>
      <c r="HQ322" s="100"/>
      <c r="HR322" s="100"/>
      <c r="HS322" s="100"/>
      <c r="HT322" s="100"/>
      <c r="HU322" s="100"/>
      <c r="HV322" s="100"/>
      <c r="HW322" s="100"/>
      <c r="HX322" s="100"/>
      <c r="HY322" s="100"/>
      <c r="HZ322" s="100"/>
      <c r="IA322" s="100"/>
      <c r="IB322" s="100"/>
      <c r="IC322" s="100"/>
      <c r="ID322" s="100"/>
      <c r="IE322" s="100"/>
      <c r="IF322" s="100"/>
      <c r="IG322" s="100"/>
      <c r="IH322" s="100"/>
      <c r="II322" s="100"/>
      <c r="IJ322" s="100"/>
      <c r="IK322" s="100"/>
      <c r="IL322" s="100"/>
      <c r="IM322" s="100"/>
      <c r="IN322" s="100"/>
      <c r="IO322" s="100"/>
      <c r="IP322" s="100"/>
      <c r="IQ322" s="100"/>
      <c r="IR322" s="100"/>
      <c r="IS322" s="100"/>
      <c r="IT322" s="100"/>
      <c r="IU322" s="100"/>
      <c r="IV322" s="100"/>
      <c r="IW322" s="100"/>
      <c r="IX322" s="100"/>
      <c r="IY322" s="100"/>
      <c r="IZ322" s="100"/>
      <c r="JA322" s="100"/>
      <c r="JB322" s="100"/>
      <c r="JC322" s="100"/>
      <c r="JD322" s="100"/>
      <c r="JE322" s="100"/>
      <c r="JF322" s="100"/>
      <c r="JG322" s="100"/>
      <c r="JH322" s="100"/>
      <c r="JI322" s="100"/>
      <c r="JJ322" s="100"/>
      <c r="JK322" s="100"/>
      <c r="JL322" s="100"/>
      <c r="JM322" s="100"/>
      <c r="JN322" s="100"/>
      <c r="JO322" s="100"/>
      <c r="JP322" s="100"/>
      <c r="JQ322" s="100"/>
      <c r="JR322" s="100"/>
      <c r="JS322" s="100"/>
      <c r="JT322" s="100"/>
      <c r="JU322" s="100"/>
      <c r="JV322" s="100"/>
      <c r="JW322" s="100"/>
      <c r="JX322" s="100"/>
      <c r="JY322" s="100"/>
      <c r="JZ322" s="100"/>
      <c r="KA322" s="100"/>
      <c r="KB322" s="100"/>
      <c r="KC322" s="100"/>
      <c r="KD322" s="100"/>
      <c r="KE322" s="100"/>
      <c r="KF322" s="100"/>
      <c r="KG322" s="100"/>
      <c r="KH322" s="100"/>
      <c r="KI322" s="100"/>
      <c r="KJ322" s="100"/>
      <c r="KK322" s="100"/>
      <c r="KL322" s="100"/>
      <c r="KM322" s="100"/>
      <c r="KN322" s="100"/>
      <c r="KO322" s="100"/>
      <c r="KP322" s="100"/>
      <c r="KQ322" s="100"/>
      <c r="KR322" s="100"/>
      <c r="KS322" s="100"/>
      <c r="KT322" s="100"/>
      <c r="KU322" s="100"/>
      <c r="KV322" s="100"/>
      <c r="KW322" s="100"/>
      <c r="KX322" s="100"/>
      <c r="KY322" s="100"/>
      <c r="KZ322" s="100"/>
      <c r="LA322" s="100"/>
      <c r="LB322" s="100"/>
      <c r="LC322" s="100"/>
      <c r="LD322" s="100"/>
      <c r="LE322" s="100"/>
      <c r="LF322" s="100"/>
      <c r="LG322" s="100"/>
      <c r="LH322" s="100"/>
      <c r="LI322" s="100"/>
      <c r="LJ322" s="100"/>
      <c r="LK322" s="100"/>
      <c r="LL322" s="100"/>
      <c r="LM322" s="100"/>
      <c r="LN322" s="100"/>
      <c r="LO322" s="100"/>
      <c r="LP322" s="100"/>
      <c r="LQ322" s="100"/>
      <c r="LR322" s="100"/>
      <c r="LS322" s="100"/>
      <c r="LT322" s="100"/>
      <c r="LU322" s="100"/>
      <c r="LV322" s="100"/>
      <c r="LW322" s="100"/>
      <c r="LX322" s="100"/>
      <c r="LY322" s="100"/>
      <c r="LZ322" s="100"/>
      <c r="MA322" s="100"/>
      <c r="MB322" s="100"/>
      <c r="MC322" s="100"/>
      <c r="MD322" s="100"/>
      <c r="ME322" s="100"/>
      <c r="MF322" s="100"/>
      <c r="MG322" s="100"/>
      <c r="MH322" s="100"/>
      <c r="MI322" s="100"/>
      <c r="MJ322" s="100"/>
      <c r="MK322" s="100"/>
      <c r="ML322" s="100"/>
      <c r="MM322" s="100"/>
      <c r="MN322" s="100"/>
      <c r="MO322" s="100"/>
      <c r="MP322" s="100"/>
      <c r="MQ322" s="100"/>
      <c r="MR322" s="100"/>
      <c r="MS322" s="100"/>
      <c r="MT322" s="100"/>
      <c r="MU322" s="100"/>
      <c r="MV322" s="100"/>
      <c r="MW322" s="100"/>
      <c r="MX322" s="100"/>
      <c r="MY322" s="100"/>
      <c r="MZ322" s="100"/>
      <c r="NA322" s="100"/>
      <c r="NB322" s="100"/>
      <c r="NC322" s="100"/>
      <c r="ND322" s="100"/>
      <c r="NE322" s="100"/>
      <c r="NF322" s="100"/>
      <c r="NG322" s="100"/>
      <c r="NH322" s="100"/>
      <c r="NI322" s="100"/>
      <c r="NJ322" s="100"/>
      <c r="NK322" s="100"/>
      <c r="NL322" s="100"/>
      <c r="NM322" s="100"/>
      <c r="NN322" s="100"/>
      <c r="NO322" s="100"/>
      <c r="NP322" s="100"/>
      <c r="NQ322" s="100"/>
      <c r="NR322" s="100"/>
      <c r="NS322" s="100"/>
      <c r="NT322" s="100"/>
      <c r="NU322" s="100"/>
      <c r="NV322" s="100"/>
      <c r="NW322" s="100"/>
      <c r="NX322" s="100"/>
      <c r="NY322" s="100"/>
      <c r="NZ322" s="100"/>
      <c r="OA322" s="100"/>
      <c r="OB322" s="100"/>
      <c r="OC322" s="100"/>
      <c r="OD322" s="100"/>
      <c r="OE322" s="100"/>
      <c r="OF322" s="100"/>
      <c r="OG322" s="100"/>
      <c r="OH322" s="100"/>
      <c r="OI322" s="100"/>
      <c r="OJ322" s="100"/>
      <c r="OK322" s="100"/>
      <c r="OL322" s="100"/>
      <c r="OM322" s="100"/>
      <c r="ON322" s="100"/>
      <c r="OO322" s="100"/>
      <c r="OP322" s="100"/>
      <c r="OQ322" s="100"/>
      <c r="OR322" s="100"/>
      <c r="OS322" s="100"/>
      <c r="OT322" s="100"/>
      <c r="OU322" s="100"/>
      <c r="OV322" s="100"/>
      <c r="OW322" s="100"/>
      <c r="OX322" s="100"/>
      <c r="OY322" s="100"/>
      <c r="OZ322" s="100"/>
      <c r="PA322" s="100"/>
      <c r="PB322" s="100"/>
      <c r="PC322" s="100"/>
      <c r="PD322" s="100"/>
      <c r="PE322" s="100"/>
      <c r="PF322" s="100"/>
      <c r="PG322" s="100"/>
      <c r="PH322" s="100"/>
      <c r="PI322" s="100"/>
      <c r="PJ322" s="100"/>
      <c r="PK322" s="100"/>
      <c r="PL322" s="100"/>
      <c r="PM322" s="100"/>
      <c r="PN322" s="100"/>
      <c r="PO322" s="100"/>
      <c r="PP322" s="100"/>
      <c r="PQ322" s="100"/>
      <c r="PR322" s="100"/>
      <c r="PS322" s="100"/>
      <c r="PT322" s="100"/>
      <c r="PU322" s="100"/>
      <c r="PV322" s="100"/>
      <c r="PW322" s="100"/>
      <c r="PX322" s="100"/>
      <c r="PY322" s="100"/>
      <c r="PZ322" s="100"/>
      <c r="QA322" s="100"/>
      <c r="QB322" s="100"/>
      <c r="QC322" s="100"/>
      <c r="QD322" s="100"/>
      <c r="QE322" s="100"/>
      <c r="QF322" s="100"/>
      <c r="QG322" s="100"/>
      <c r="QH322" s="100"/>
      <c r="QI322" s="100"/>
      <c r="QJ322" s="100"/>
      <c r="QK322" s="100"/>
      <c r="QL322" s="100"/>
      <c r="QM322" s="100"/>
      <c r="QN322" s="100"/>
      <c r="QO322" s="100"/>
      <c r="QP322" s="100"/>
      <c r="QQ322" s="100"/>
      <c r="QR322" s="100"/>
      <c r="QS322" s="100"/>
      <c r="QT322" s="100"/>
      <c r="QU322" s="100"/>
      <c r="QV322" s="100"/>
      <c r="QW322" s="100"/>
      <c r="QX322" s="100"/>
      <c r="QY322" s="100"/>
      <c r="QZ322" s="100"/>
      <c r="RA322" s="100"/>
      <c r="RB322" s="100"/>
      <c r="RC322" s="100"/>
      <c r="RD322" s="100"/>
      <c r="RE322" s="100"/>
      <c r="RF322" s="100"/>
      <c r="RG322" s="100"/>
      <c r="RH322" s="100"/>
      <c r="RI322" s="100"/>
      <c r="RJ322" s="100"/>
      <c r="RK322" s="100"/>
      <c r="RL322" s="100"/>
      <c r="RM322" s="100"/>
      <c r="RN322" s="100"/>
      <c r="RO322" s="100"/>
      <c r="RP322" s="100"/>
      <c r="RQ322" s="100"/>
      <c r="RR322" s="100"/>
      <c r="RS322" s="100"/>
      <c r="RT322" s="100"/>
      <c r="RU322" s="100"/>
      <c r="RV322" s="100"/>
      <c r="RW322" s="100"/>
      <c r="RX322" s="100"/>
      <c r="RY322" s="100"/>
      <c r="RZ322" s="100"/>
      <c r="SA322" s="100"/>
      <c r="SB322" s="100"/>
      <c r="SC322" s="100"/>
      <c r="SD322" s="100"/>
      <c r="SE322" s="100"/>
      <c r="SF322" s="100"/>
      <c r="SG322" s="100"/>
      <c r="SH322" s="100"/>
      <c r="SI322" s="100"/>
      <c r="SJ322" s="100"/>
      <c r="SK322" s="100"/>
      <c r="SL322" s="100"/>
      <c r="SM322" s="100"/>
      <c r="SN322" s="100"/>
      <c r="SO322" s="100"/>
      <c r="SP322" s="100"/>
      <c r="SQ322" s="100"/>
      <c r="SR322" s="100"/>
      <c r="SS322" s="100"/>
      <c r="ST322" s="100"/>
      <c r="SU322" s="100"/>
      <c r="SV322" s="100"/>
      <c r="SW322" s="100"/>
      <c r="SX322" s="100"/>
      <c r="SY322" s="100"/>
      <c r="SZ322" s="100"/>
      <c r="TA322" s="100"/>
      <c r="TB322" s="100"/>
      <c r="TC322" s="100"/>
      <c r="TD322" s="100"/>
      <c r="TE322" s="100"/>
      <c r="TF322" s="100"/>
      <c r="TG322" s="100"/>
      <c r="TH322" s="100"/>
      <c r="TI322" s="100"/>
      <c r="TJ322" s="100"/>
      <c r="TK322" s="100"/>
      <c r="TL322" s="100"/>
      <c r="TM322" s="100"/>
      <c r="TN322" s="100"/>
      <c r="TO322" s="100"/>
      <c r="TP322" s="100"/>
      <c r="TQ322" s="100"/>
      <c r="TR322" s="100"/>
      <c r="TS322" s="100"/>
      <c r="TT322" s="100"/>
      <c r="TU322" s="100"/>
      <c r="TV322" s="100"/>
      <c r="TW322" s="100"/>
      <c r="TX322" s="100"/>
      <c r="TY322" s="100"/>
      <c r="TZ322" s="100"/>
      <c r="UA322" s="100"/>
      <c r="UB322" s="100"/>
      <c r="UC322" s="100"/>
      <c r="UD322" s="100"/>
      <c r="UE322" s="100"/>
      <c r="UF322" s="100"/>
      <c r="UG322" s="100"/>
      <c r="UH322" s="100"/>
      <c r="UI322" s="100"/>
      <c r="UJ322" s="100"/>
      <c r="UK322" s="100"/>
      <c r="UL322" s="100"/>
      <c r="UM322" s="100"/>
      <c r="UN322" s="100"/>
      <c r="UO322" s="100"/>
      <c r="UP322" s="100"/>
      <c r="UQ322" s="100"/>
      <c r="UR322" s="100"/>
      <c r="US322" s="100"/>
      <c r="UT322" s="100"/>
      <c r="UU322" s="100"/>
      <c r="UV322" s="100"/>
      <c r="UW322" s="100"/>
      <c r="UX322" s="100"/>
      <c r="UY322" s="100"/>
      <c r="UZ322" s="100"/>
      <c r="VA322" s="100"/>
      <c r="VB322" s="100"/>
      <c r="VC322" s="100"/>
      <c r="VD322" s="100"/>
      <c r="VE322" s="100"/>
      <c r="VF322" s="100"/>
      <c r="VG322" s="100"/>
      <c r="VH322" s="100"/>
      <c r="VI322" s="100"/>
      <c r="VJ322" s="100"/>
      <c r="VK322" s="100"/>
      <c r="VL322" s="100"/>
      <c r="VM322" s="100"/>
      <c r="VN322" s="100"/>
      <c r="VO322" s="100"/>
      <c r="VP322" s="100"/>
      <c r="VQ322" s="100"/>
      <c r="VR322" s="100"/>
      <c r="VS322" s="100"/>
      <c r="VT322" s="100"/>
      <c r="VU322" s="100"/>
      <c r="VV322" s="100"/>
      <c r="VW322" s="100"/>
      <c r="VX322" s="100"/>
      <c r="VY322" s="100"/>
      <c r="VZ322" s="100"/>
      <c r="WA322" s="100"/>
      <c r="WB322" s="100"/>
      <c r="WC322" s="100"/>
      <c r="WD322" s="100"/>
      <c r="WE322" s="100"/>
      <c r="WF322" s="100"/>
      <c r="WG322" s="100"/>
      <c r="WH322" s="100"/>
      <c r="WI322" s="100"/>
      <c r="WJ322" s="100"/>
      <c r="WK322" s="100"/>
      <c r="WL322" s="100"/>
      <c r="WM322" s="100"/>
      <c r="WN322" s="100"/>
      <c r="WO322" s="100"/>
      <c r="WP322" s="100"/>
      <c r="WQ322" s="100"/>
      <c r="WR322" s="100"/>
      <c r="WS322" s="100"/>
      <c r="WT322" s="100"/>
      <c r="WU322" s="100"/>
      <c r="WV322" s="100"/>
      <c r="WW322" s="100"/>
      <c r="WX322" s="100"/>
      <c r="WY322" s="100"/>
      <c r="WZ322" s="100"/>
      <c r="XA322" s="100"/>
      <c r="XB322" s="100"/>
      <c r="XC322" s="100"/>
      <c r="XD322" s="100"/>
      <c r="XE322" s="100"/>
      <c r="XF322" s="100"/>
      <c r="XG322" s="100"/>
      <c r="XH322" s="100"/>
      <c r="XI322" s="100"/>
      <c r="XJ322" s="100"/>
      <c r="XK322" s="100"/>
      <c r="XL322" s="100"/>
      <c r="XM322" s="100"/>
      <c r="XN322" s="100"/>
      <c r="XO322" s="100"/>
      <c r="XP322" s="100"/>
      <c r="XQ322" s="100"/>
      <c r="XR322" s="100"/>
      <c r="XS322" s="100"/>
      <c r="XT322" s="100"/>
      <c r="XU322" s="100"/>
      <c r="XV322" s="100"/>
      <c r="XW322" s="100"/>
      <c r="XX322" s="100"/>
      <c r="XY322" s="100"/>
      <c r="XZ322" s="100"/>
      <c r="YA322" s="100"/>
      <c r="YB322" s="100"/>
      <c r="YC322" s="100"/>
      <c r="YD322" s="100"/>
      <c r="YE322" s="100"/>
      <c r="YF322" s="100"/>
      <c r="YG322" s="100"/>
      <c r="YH322" s="100"/>
      <c r="YI322" s="100"/>
      <c r="YJ322" s="100"/>
      <c r="YK322" s="100"/>
      <c r="YL322" s="100"/>
      <c r="YM322" s="100"/>
      <c r="YN322" s="100"/>
      <c r="YO322" s="100"/>
      <c r="YP322" s="100"/>
      <c r="YQ322" s="100"/>
      <c r="YR322" s="100"/>
      <c r="YS322" s="100"/>
      <c r="YT322" s="100"/>
      <c r="YU322" s="100"/>
      <c r="YV322" s="100"/>
      <c r="YW322" s="100"/>
      <c r="YX322" s="100"/>
      <c r="YY322" s="100"/>
      <c r="YZ322" s="100"/>
      <c r="ZA322" s="100"/>
      <c r="ZB322" s="100"/>
      <c r="ZC322" s="100"/>
      <c r="ZD322" s="100"/>
      <c r="ZE322" s="100"/>
      <c r="ZF322" s="100"/>
      <c r="ZG322" s="100"/>
      <c r="ZH322" s="100"/>
      <c r="ZI322" s="100"/>
      <c r="ZJ322" s="100"/>
      <c r="ZK322" s="100"/>
      <c r="ZL322" s="100"/>
      <c r="ZM322" s="100"/>
      <c r="ZN322" s="100"/>
      <c r="ZO322" s="100"/>
      <c r="ZP322" s="100"/>
      <c r="ZQ322" s="100"/>
      <c r="ZR322" s="100"/>
      <c r="ZS322" s="100"/>
      <c r="ZT322" s="100"/>
      <c r="ZU322" s="100"/>
      <c r="ZV322" s="100"/>
      <c r="ZW322" s="100"/>
      <c r="ZX322" s="100"/>
      <c r="ZY322" s="100"/>
      <c r="ZZ322" s="100"/>
      <c r="AAA322" s="100"/>
      <c r="AAB322" s="100"/>
      <c r="AAC322" s="100"/>
      <c r="AAD322" s="100"/>
      <c r="AAE322" s="100"/>
      <c r="AAF322" s="100"/>
      <c r="AAG322" s="100"/>
      <c r="AAH322" s="100"/>
      <c r="AAI322" s="100"/>
      <c r="AAJ322" s="100"/>
      <c r="AAK322" s="100"/>
      <c r="AAL322" s="100"/>
      <c r="AAM322" s="100"/>
      <c r="AAN322" s="100"/>
      <c r="AAO322" s="100"/>
      <c r="AAP322" s="100"/>
      <c r="AAQ322" s="100"/>
      <c r="AAR322" s="100"/>
      <c r="AAS322" s="100"/>
      <c r="AAT322" s="100"/>
      <c r="AAU322" s="100"/>
      <c r="AAV322" s="100"/>
      <c r="AAW322" s="100"/>
      <c r="AAX322" s="100"/>
      <c r="AAY322" s="100"/>
      <c r="AAZ322" s="100"/>
      <c r="ABA322" s="100"/>
      <c r="ABB322" s="100"/>
      <c r="ABC322" s="100"/>
      <c r="ABD322" s="100"/>
      <c r="ABE322" s="100"/>
      <c r="ABF322" s="100"/>
      <c r="ABG322" s="100"/>
      <c r="ABH322" s="100"/>
      <c r="ABI322" s="100"/>
      <c r="ABJ322" s="100"/>
      <c r="ABK322" s="100"/>
      <c r="ABL322" s="100"/>
      <c r="ABM322" s="100"/>
      <c r="ABN322" s="100"/>
      <c r="ABO322" s="100"/>
      <c r="ABP322" s="100"/>
      <c r="ABQ322" s="100"/>
      <c r="ABR322" s="100"/>
      <c r="ABS322" s="100"/>
      <c r="ABT322" s="100"/>
      <c r="ABU322" s="100"/>
      <c r="ABV322" s="100"/>
      <c r="ABW322" s="100"/>
      <c r="ABX322" s="100"/>
      <c r="ABY322" s="100"/>
      <c r="ABZ322" s="100"/>
      <c r="ACA322" s="100"/>
      <c r="ACB322" s="100"/>
      <c r="ACC322" s="100"/>
      <c r="ACD322" s="100"/>
      <c r="ACE322" s="100"/>
      <c r="ACF322" s="100"/>
      <c r="ACG322" s="100"/>
      <c r="ACH322" s="100"/>
      <c r="ACI322" s="100"/>
      <c r="ACJ322" s="100"/>
      <c r="ACK322" s="100"/>
      <c r="ACL322" s="100"/>
      <c r="ACM322" s="100"/>
      <c r="ACN322" s="100"/>
      <c r="ACO322" s="100"/>
      <c r="ACP322" s="100"/>
      <c r="ACQ322" s="100"/>
      <c r="ACR322" s="100"/>
      <c r="ACS322" s="100"/>
      <c r="ACT322" s="100"/>
      <c r="ACU322" s="100"/>
      <c r="ACV322" s="100"/>
      <c r="ACW322" s="100"/>
      <c r="ACX322" s="100"/>
      <c r="ACY322" s="100"/>
      <c r="ACZ322" s="100"/>
      <c r="ADA322" s="100"/>
      <c r="ADB322" s="100"/>
      <c r="ADC322" s="100"/>
      <c r="ADD322" s="100"/>
      <c r="ADE322" s="100"/>
      <c r="ADF322" s="100"/>
      <c r="ADG322" s="100"/>
      <c r="ADH322" s="100"/>
      <c r="ADI322" s="100"/>
      <c r="ADJ322" s="100"/>
      <c r="ADK322" s="100"/>
      <c r="ADL322" s="100"/>
      <c r="ADM322" s="100"/>
      <c r="ADN322" s="100"/>
      <c r="ADO322" s="100"/>
      <c r="ADP322" s="100"/>
      <c r="ADQ322" s="100"/>
      <c r="ADR322" s="100"/>
      <c r="ADS322" s="100"/>
      <c r="ADT322" s="100"/>
      <c r="ADU322" s="100"/>
      <c r="ADV322" s="100"/>
      <c r="ADW322" s="100"/>
      <c r="ADX322" s="100"/>
      <c r="ADY322" s="100"/>
      <c r="ADZ322" s="100"/>
      <c r="AEA322" s="100"/>
      <c r="AEB322" s="100"/>
      <c r="AEC322" s="100"/>
      <c r="AED322" s="100"/>
      <c r="AEE322" s="100"/>
      <c r="AEF322" s="100"/>
      <c r="AEG322" s="100"/>
      <c r="AEH322" s="100"/>
      <c r="AEI322" s="100"/>
      <c r="AEJ322" s="100"/>
      <c r="AEK322" s="100"/>
      <c r="AEL322" s="100"/>
      <c r="AEM322" s="100"/>
      <c r="AEN322" s="100"/>
      <c r="AEO322" s="100"/>
      <c r="AEP322" s="100"/>
      <c r="AEQ322" s="100"/>
      <c r="AER322" s="100"/>
      <c r="AES322" s="100"/>
      <c r="AET322" s="100"/>
      <c r="AEU322" s="100"/>
      <c r="AEV322" s="100"/>
      <c r="AEW322" s="100"/>
      <c r="AEX322" s="100"/>
      <c r="AEY322" s="100"/>
      <c r="AEZ322" s="100"/>
      <c r="AFA322" s="100"/>
      <c r="AFB322" s="100"/>
      <c r="AFC322" s="100"/>
      <c r="AFD322" s="100"/>
      <c r="AFE322" s="100"/>
      <c r="AFF322" s="100"/>
      <c r="AFG322" s="100"/>
      <c r="AFH322" s="100"/>
      <c r="AFI322" s="100"/>
      <c r="AFJ322" s="100"/>
      <c r="AFK322" s="100"/>
      <c r="AFL322" s="100"/>
      <c r="AFM322" s="100"/>
      <c r="AFN322" s="100"/>
      <c r="AFO322" s="100"/>
      <c r="AFP322" s="100"/>
      <c r="AFQ322" s="100"/>
      <c r="AFR322" s="100"/>
      <c r="AFS322" s="100"/>
      <c r="AFT322" s="100"/>
      <c r="AFU322" s="100"/>
      <c r="AFV322" s="100"/>
      <c r="AFW322" s="100"/>
      <c r="AFX322" s="100"/>
      <c r="AFY322" s="100"/>
      <c r="AFZ322" s="100"/>
      <c r="AGA322" s="100"/>
      <c r="AGB322" s="100"/>
      <c r="AGC322" s="100"/>
      <c r="AGD322" s="100"/>
      <c r="AGE322" s="100"/>
      <c r="AGF322" s="100"/>
      <c r="AGG322" s="100"/>
      <c r="AGH322" s="100"/>
      <c r="AGI322" s="100"/>
      <c r="AGJ322" s="100"/>
      <c r="AGK322" s="100"/>
      <c r="AGL322" s="100"/>
      <c r="AGM322" s="100"/>
      <c r="AGN322" s="100"/>
      <c r="AGO322" s="100"/>
      <c r="AGP322" s="100"/>
      <c r="AGQ322" s="100"/>
      <c r="AGR322" s="100"/>
      <c r="AGS322" s="100"/>
      <c r="AGT322" s="100"/>
      <c r="AGU322" s="100"/>
      <c r="AGV322" s="100"/>
      <c r="AGW322" s="100"/>
      <c r="AGX322" s="100"/>
      <c r="AGY322" s="100"/>
      <c r="AGZ322" s="100"/>
      <c r="AHA322" s="100"/>
      <c r="AHB322" s="100"/>
      <c r="AHC322" s="100"/>
      <c r="AHD322" s="100"/>
      <c r="AHE322" s="100"/>
      <c r="AHF322" s="100"/>
      <c r="AHG322" s="100"/>
      <c r="AHH322" s="100"/>
      <c r="AHI322" s="100"/>
      <c r="AHJ322" s="100"/>
      <c r="AHK322" s="100"/>
      <c r="AHL322" s="100"/>
      <c r="AHM322" s="100"/>
      <c r="AHN322" s="100"/>
      <c r="AHO322" s="100"/>
      <c r="AHP322" s="100"/>
      <c r="AHQ322" s="100"/>
      <c r="AHR322" s="100"/>
      <c r="AHS322" s="100"/>
      <c r="AHT322" s="100"/>
      <c r="AHU322" s="100"/>
      <c r="AHV322" s="100"/>
      <c r="AHW322" s="100"/>
      <c r="AHX322" s="100"/>
      <c r="AHY322" s="100"/>
      <c r="AHZ322" s="100"/>
      <c r="AIA322" s="100"/>
      <c r="AIB322" s="100"/>
      <c r="AIC322" s="100"/>
      <c r="AID322" s="100"/>
      <c r="AIE322" s="100"/>
      <c r="AIF322" s="100"/>
      <c r="AIG322" s="100"/>
      <c r="AIH322" s="100"/>
      <c r="AII322" s="100"/>
      <c r="AIJ322" s="100"/>
      <c r="AIK322" s="100"/>
      <c r="AIL322" s="100"/>
      <c r="AIM322" s="100"/>
      <c r="AIN322" s="100"/>
      <c r="AIO322" s="100"/>
      <c r="AIP322" s="100"/>
      <c r="AIQ322" s="100"/>
      <c r="AIR322" s="100"/>
      <c r="AIS322" s="100"/>
      <c r="AIT322" s="100"/>
      <c r="AIU322" s="100"/>
      <c r="AIV322" s="100"/>
      <c r="AIW322" s="100"/>
      <c r="AIX322" s="100"/>
      <c r="AIY322" s="100"/>
      <c r="AIZ322" s="100"/>
      <c r="AJA322" s="100"/>
      <c r="AJB322" s="100"/>
      <c r="AJC322" s="100"/>
      <c r="AJD322" s="100"/>
      <c r="AJE322" s="100"/>
      <c r="AJF322" s="100"/>
      <c r="AJG322" s="100"/>
      <c r="AJH322" s="100"/>
      <c r="AJI322" s="100"/>
      <c r="AJJ322" s="100"/>
      <c r="AJK322" s="100"/>
      <c r="AJL322" s="100"/>
      <c r="AJM322" s="100"/>
      <c r="AJN322" s="100"/>
      <c r="AJO322" s="100"/>
      <c r="AJP322" s="100"/>
      <c r="AJQ322" s="100"/>
      <c r="AJR322" s="100"/>
      <c r="AJS322" s="100"/>
      <c r="AJT322" s="100"/>
      <c r="AJU322" s="100"/>
      <c r="AJV322" s="100"/>
      <c r="AJW322" s="100"/>
      <c r="AJX322" s="100"/>
      <c r="AJY322" s="100"/>
      <c r="AJZ322" s="100"/>
      <c r="AKA322" s="100"/>
      <c r="AKB322" s="100"/>
      <c r="AKC322" s="100"/>
      <c r="AKD322" s="100"/>
      <c r="AKE322" s="100"/>
      <c r="AKF322" s="100"/>
      <c r="AKG322" s="100"/>
      <c r="AKH322" s="100"/>
      <c r="AKI322" s="100"/>
      <c r="AKJ322" s="100"/>
      <c r="AKK322" s="100"/>
      <c r="AKL322" s="100"/>
      <c r="AKM322" s="100"/>
      <c r="AKN322" s="100"/>
      <c r="AKO322" s="100"/>
      <c r="AKP322" s="100"/>
      <c r="AKQ322" s="100"/>
      <c r="AKR322" s="100"/>
      <c r="AKS322" s="100"/>
      <c r="AKT322" s="100"/>
      <c r="AKU322" s="100"/>
      <c r="AKV322" s="100"/>
      <c r="AKW322" s="100"/>
      <c r="AKX322" s="100"/>
      <c r="AKY322" s="100"/>
      <c r="AKZ322" s="100"/>
      <c r="ALA322" s="100"/>
      <c r="ALB322" s="100"/>
      <c r="ALC322" s="100"/>
      <c r="ALD322" s="100"/>
      <c r="ALE322" s="100"/>
      <c r="ALF322" s="100"/>
      <c r="ALG322" s="100"/>
      <c r="ALH322" s="100"/>
      <c r="ALI322" s="100"/>
      <c r="ALJ322" s="100"/>
      <c r="ALK322" s="100"/>
      <c r="ALL322" s="100"/>
      <c r="ALM322" s="100"/>
      <c r="ALN322" s="100"/>
      <c r="ALO322" s="100"/>
      <c r="ALP322" s="100"/>
      <c r="ALQ322" s="100"/>
      <c r="ALR322" s="100"/>
      <c r="ALS322" s="100"/>
      <c r="ALT322" s="100"/>
      <c r="ALU322" s="100"/>
      <c r="ALV322" s="100"/>
      <c r="ALW322" s="100"/>
      <c r="ALX322" s="100"/>
      <c r="ALY322" s="100"/>
      <c r="ALZ322" s="100"/>
      <c r="AMA322" s="100"/>
      <c r="AMB322" s="100"/>
      <c r="AMC322" s="100"/>
      <c r="AMD322" s="100"/>
    </row>
    <row r="323" spans="1:1018" s="127" customFormat="1" ht="11.25" customHeight="1" x14ac:dyDescent="0.15">
      <c r="A323" s="129" t="s">
        <v>436</v>
      </c>
      <c r="B323" s="126">
        <v>1</v>
      </c>
      <c r="C323" s="114">
        <v>316</v>
      </c>
      <c r="D323" s="115" t="s">
        <v>459</v>
      </c>
      <c r="E323" s="171">
        <v>238</v>
      </c>
      <c r="F323" s="113">
        <f>ROUND(E323*Valores!$C$2,2)</f>
        <v>23277.83</v>
      </c>
      <c r="G323" s="169">
        <v>0</v>
      </c>
      <c r="H323" s="113">
        <f>ROUND(G323*Valores!$C$2,2)</f>
        <v>0</v>
      </c>
      <c r="I323" s="169">
        <v>0</v>
      </c>
      <c r="J323" s="113">
        <f>ROUND(I323*Valores!$C$2,2)</f>
        <v>0</v>
      </c>
      <c r="K323" s="169">
        <v>0</v>
      </c>
      <c r="L323" s="113">
        <f>ROUND(K323*Valores!$C$2,2)</f>
        <v>0</v>
      </c>
      <c r="M323" s="113">
        <f>ROUND(IF($H$2=0,IF(AND(A323&lt;&gt;"13-930",A323&lt;&gt;"13-940"),(SUM(F323,L323,W323,S323,Q323)*Valores!$C$4),0),0),2)</f>
        <v>0</v>
      </c>
      <c r="N323" s="113">
        <f t="shared" si="54"/>
        <v>0</v>
      </c>
      <c r="O323" s="113">
        <f>Valores!C$63*B323</f>
        <v>6846.24</v>
      </c>
      <c r="P323" s="113">
        <v>0</v>
      </c>
      <c r="Q323" s="113">
        <f>IF($F$4="NO",Valores!$C$29,Valores!$C$29/2)</f>
        <v>2597.48</v>
      </c>
      <c r="R323" s="113">
        <v>0</v>
      </c>
      <c r="S323" s="113">
        <f t="shared" si="55"/>
        <v>0</v>
      </c>
      <c r="T323" s="113">
        <v>0</v>
      </c>
      <c r="U323" s="113">
        <v>0</v>
      </c>
      <c r="V323" s="169">
        <v>0</v>
      </c>
      <c r="W323" s="113">
        <f>ROUND(V323*Valores!$C$2,2)</f>
        <v>0</v>
      </c>
      <c r="X323" s="113">
        <v>0</v>
      </c>
      <c r="Y323" s="188">
        <v>0</v>
      </c>
      <c r="Z323" s="113">
        <v>0</v>
      </c>
      <c r="AA323" s="169">
        <v>0</v>
      </c>
      <c r="AB323" s="113">
        <f>ROUND(AA323*Valores!$C$2,2)</f>
        <v>0</v>
      </c>
      <c r="AC323" s="113">
        <f>ROUND(IF($F$4="NO",Valores!$C$34*B323,Valores!$C$34*B323/2),2)</f>
        <v>2353.7600000000002</v>
      </c>
      <c r="AD323" s="113">
        <f>SUM(F323,H323,J323,L323,M323,N323,O323,P323,Q323,S323,T323,U323,W323,X323,Z323,AB323,AC323)*Valores!$C$58</f>
        <v>3507.5309999999999</v>
      </c>
      <c r="AE323" s="113">
        <f t="shared" si="49"/>
        <v>38582.841</v>
      </c>
      <c r="AF323" s="113">
        <f>Valores!$C$14</f>
        <v>4857.07</v>
      </c>
      <c r="AG323" s="113">
        <f>AE323*Valores!$C$60*Valores!$C$61</f>
        <v>0</v>
      </c>
      <c r="AH323" s="113">
        <f t="shared" si="45"/>
        <v>4857.07</v>
      </c>
      <c r="AI323" s="113">
        <f>AE323*Valores!$C$39</f>
        <v>-4244.1125099999999</v>
      </c>
      <c r="AJ323" s="113">
        <f>IF(AE323&lt;Valores!$E$40,-0.02,IF(AE323&lt;Valores!$F$40,-0.03,-0.04))*AE323</f>
        <v>-771.65682000000004</v>
      </c>
      <c r="AK323" s="113">
        <f>AE323*Valores!$C$42</f>
        <v>-2122.056255</v>
      </c>
      <c r="AL323" s="113">
        <v>0</v>
      </c>
      <c r="AM323" s="113">
        <v>0</v>
      </c>
      <c r="AN323" s="113">
        <f t="shared" si="50"/>
        <v>36302.085415000001</v>
      </c>
      <c r="AO323" s="113">
        <f t="shared" si="44"/>
        <v>-4244.1125099999999</v>
      </c>
      <c r="AP323" s="113">
        <f t="shared" si="51"/>
        <v>-771.65682000000004</v>
      </c>
      <c r="AQ323" s="113">
        <f>AE323*Valores!$C$43</f>
        <v>-1041.736707</v>
      </c>
      <c r="AR323" s="113">
        <f>AE323*Valores!$C$44</f>
        <v>-115.74852300000001</v>
      </c>
      <c r="AS323" s="113">
        <f t="shared" si="46"/>
        <v>37266.656439999999</v>
      </c>
      <c r="AT323" s="113">
        <f>AE323*Valores!$C$46</f>
        <v>6173.2545600000003</v>
      </c>
      <c r="AU323" s="113">
        <f>AE323*Valores!$C$47</f>
        <v>2700.7988700000001</v>
      </c>
      <c r="AV323" s="113">
        <f>AE323*Valores!$C$48</f>
        <v>385.82841000000002</v>
      </c>
      <c r="AW323" s="113">
        <f>AE323*Valores!$C$50</f>
        <v>1350.399435</v>
      </c>
      <c r="AX323" s="113">
        <f>AE323*Valores!$C$52</f>
        <v>2083.473414</v>
      </c>
      <c r="AY323" s="113">
        <f>AE323*Valores!$C$51</f>
        <v>231.49704600000001</v>
      </c>
      <c r="AZ323" s="114"/>
      <c r="BA323" s="114"/>
      <c r="BB323" s="111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  <c r="EO323" s="100"/>
      <c r="EP323" s="100"/>
      <c r="EQ323" s="100"/>
      <c r="ER323" s="100"/>
      <c r="ES323" s="100"/>
      <c r="ET323" s="100"/>
      <c r="EU323" s="100"/>
      <c r="EV323" s="100"/>
      <c r="EW323" s="100"/>
      <c r="EX323" s="100"/>
      <c r="EY323" s="100"/>
      <c r="EZ323" s="100"/>
      <c r="FA323" s="100"/>
      <c r="FB323" s="100"/>
      <c r="FC323" s="100"/>
      <c r="FD323" s="100"/>
      <c r="FE323" s="100"/>
      <c r="FF323" s="100"/>
      <c r="FG323" s="100"/>
      <c r="FH323" s="100"/>
      <c r="FI323" s="100"/>
      <c r="FJ323" s="100"/>
      <c r="FK323" s="100"/>
      <c r="FL323" s="100"/>
      <c r="FM323" s="100"/>
      <c r="FN323" s="100"/>
      <c r="FO323" s="100"/>
      <c r="FP323" s="100"/>
      <c r="FQ323" s="100"/>
      <c r="FR323" s="100"/>
      <c r="FS323" s="100"/>
      <c r="FT323" s="100"/>
      <c r="FU323" s="100"/>
      <c r="FV323" s="100"/>
      <c r="FW323" s="100"/>
      <c r="FX323" s="100"/>
      <c r="FY323" s="100"/>
      <c r="FZ323" s="100"/>
      <c r="GA323" s="100"/>
      <c r="GB323" s="100"/>
      <c r="GC323" s="100"/>
      <c r="GD323" s="100"/>
      <c r="GE323" s="100"/>
      <c r="GF323" s="100"/>
      <c r="GG323" s="100"/>
      <c r="GH323" s="100"/>
      <c r="GI323" s="100"/>
      <c r="GJ323" s="100"/>
      <c r="GK323" s="100"/>
      <c r="GL323" s="100"/>
      <c r="GM323" s="100"/>
      <c r="GN323" s="100"/>
      <c r="GO323" s="100"/>
      <c r="GP323" s="100"/>
      <c r="GQ323" s="100"/>
      <c r="GR323" s="100"/>
      <c r="GS323" s="100"/>
      <c r="GT323" s="100"/>
      <c r="GU323" s="100"/>
      <c r="GV323" s="100"/>
      <c r="GW323" s="100"/>
      <c r="GX323" s="100"/>
      <c r="GY323" s="100"/>
      <c r="GZ323" s="100"/>
      <c r="HA323" s="100"/>
      <c r="HB323" s="100"/>
      <c r="HC323" s="100"/>
      <c r="HD323" s="100"/>
      <c r="HE323" s="100"/>
      <c r="HF323" s="100"/>
      <c r="HG323" s="100"/>
      <c r="HH323" s="100"/>
      <c r="HI323" s="100"/>
      <c r="HJ323" s="100"/>
      <c r="HK323" s="100"/>
      <c r="HL323" s="100"/>
      <c r="HM323" s="100"/>
      <c r="HN323" s="100"/>
      <c r="HO323" s="100"/>
      <c r="HP323" s="100"/>
      <c r="HQ323" s="100"/>
      <c r="HR323" s="100"/>
      <c r="HS323" s="100"/>
      <c r="HT323" s="100"/>
      <c r="HU323" s="100"/>
      <c r="HV323" s="100"/>
      <c r="HW323" s="100"/>
      <c r="HX323" s="100"/>
      <c r="HY323" s="100"/>
      <c r="HZ323" s="100"/>
      <c r="IA323" s="100"/>
      <c r="IB323" s="100"/>
      <c r="IC323" s="100"/>
      <c r="ID323" s="100"/>
      <c r="IE323" s="100"/>
      <c r="IF323" s="100"/>
      <c r="IG323" s="100"/>
      <c r="IH323" s="100"/>
      <c r="II323" s="100"/>
      <c r="IJ323" s="100"/>
      <c r="IK323" s="100"/>
      <c r="IL323" s="100"/>
      <c r="IM323" s="100"/>
      <c r="IN323" s="100"/>
      <c r="IO323" s="100"/>
      <c r="IP323" s="100"/>
      <c r="IQ323" s="100"/>
      <c r="IR323" s="100"/>
      <c r="IS323" s="100"/>
      <c r="IT323" s="100"/>
      <c r="IU323" s="100"/>
      <c r="IV323" s="100"/>
      <c r="IW323" s="100"/>
      <c r="IX323" s="100"/>
      <c r="IY323" s="100"/>
      <c r="IZ323" s="100"/>
      <c r="JA323" s="100"/>
      <c r="JB323" s="100"/>
      <c r="JC323" s="100"/>
      <c r="JD323" s="100"/>
      <c r="JE323" s="100"/>
      <c r="JF323" s="100"/>
      <c r="JG323" s="100"/>
      <c r="JH323" s="100"/>
      <c r="JI323" s="100"/>
      <c r="JJ323" s="100"/>
      <c r="JK323" s="100"/>
      <c r="JL323" s="100"/>
      <c r="JM323" s="100"/>
      <c r="JN323" s="100"/>
      <c r="JO323" s="100"/>
      <c r="JP323" s="100"/>
      <c r="JQ323" s="100"/>
      <c r="JR323" s="100"/>
      <c r="JS323" s="100"/>
      <c r="JT323" s="100"/>
      <c r="JU323" s="100"/>
      <c r="JV323" s="100"/>
      <c r="JW323" s="100"/>
      <c r="JX323" s="100"/>
      <c r="JY323" s="100"/>
      <c r="JZ323" s="100"/>
      <c r="KA323" s="100"/>
      <c r="KB323" s="100"/>
      <c r="KC323" s="100"/>
      <c r="KD323" s="100"/>
      <c r="KE323" s="100"/>
      <c r="KF323" s="100"/>
      <c r="KG323" s="100"/>
      <c r="KH323" s="100"/>
      <c r="KI323" s="100"/>
      <c r="KJ323" s="100"/>
      <c r="KK323" s="100"/>
      <c r="KL323" s="100"/>
      <c r="KM323" s="100"/>
      <c r="KN323" s="100"/>
      <c r="KO323" s="100"/>
      <c r="KP323" s="100"/>
      <c r="KQ323" s="100"/>
      <c r="KR323" s="100"/>
      <c r="KS323" s="100"/>
      <c r="KT323" s="100"/>
      <c r="KU323" s="100"/>
      <c r="KV323" s="100"/>
      <c r="KW323" s="100"/>
      <c r="KX323" s="100"/>
      <c r="KY323" s="100"/>
      <c r="KZ323" s="100"/>
      <c r="LA323" s="100"/>
      <c r="LB323" s="100"/>
      <c r="LC323" s="100"/>
      <c r="LD323" s="100"/>
      <c r="LE323" s="100"/>
      <c r="LF323" s="100"/>
      <c r="LG323" s="100"/>
      <c r="LH323" s="100"/>
      <c r="LI323" s="100"/>
      <c r="LJ323" s="100"/>
      <c r="LK323" s="100"/>
      <c r="LL323" s="100"/>
      <c r="LM323" s="100"/>
      <c r="LN323" s="100"/>
      <c r="LO323" s="100"/>
      <c r="LP323" s="100"/>
      <c r="LQ323" s="100"/>
      <c r="LR323" s="100"/>
      <c r="LS323" s="100"/>
      <c r="LT323" s="100"/>
      <c r="LU323" s="100"/>
      <c r="LV323" s="100"/>
      <c r="LW323" s="100"/>
      <c r="LX323" s="100"/>
      <c r="LY323" s="100"/>
      <c r="LZ323" s="100"/>
      <c r="MA323" s="100"/>
      <c r="MB323" s="100"/>
      <c r="MC323" s="100"/>
      <c r="MD323" s="100"/>
      <c r="ME323" s="100"/>
      <c r="MF323" s="100"/>
      <c r="MG323" s="100"/>
      <c r="MH323" s="100"/>
      <c r="MI323" s="100"/>
      <c r="MJ323" s="100"/>
      <c r="MK323" s="100"/>
      <c r="ML323" s="100"/>
      <c r="MM323" s="100"/>
      <c r="MN323" s="100"/>
      <c r="MO323" s="100"/>
      <c r="MP323" s="100"/>
      <c r="MQ323" s="100"/>
      <c r="MR323" s="100"/>
      <c r="MS323" s="100"/>
      <c r="MT323" s="100"/>
      <c r="MU323" s="100"/>
      <c r="MV323" s="100"/>
      <c r="MW323" s="100"/>
      <c r="MX323" s="100"/>
      <c r="MY323" s="100"/>
      <c r="MZ323" s="100"/>
      <c r="NA323" s="100"/>
      <c r="NB323" s="100"/>
      <c r="NC323" s="100"/>
      <c r="ND323" s="100"/>
      <c r="NE323" s="100"/>
      <c r="NF323" s="100"/>
      <c r="NG323" s="100"/>
      <c r="NH323" s="100"/>
      <c r="NI323" s="100"/>
      <c r="NJ323" s="100"/>
      <c r="NK323" s="100"/>
      <c r="NL323" s="100"/>
      <c r="NM323" s="100"/>
      <c r="NN323" s="100"/>
      <c r="NO323" s="100"/>
      <c r="NP323" s="100"/>
      <c r="NQ323" s="100"/>
      <c r="NR323" s="100"/>
      <c r="NS323" s="100"/>
      <c r="NT323" s="100"/>
      <c r="NU323" s="100"/>
      <c r="NV323" s="100"/>
      <c r="NW323" s="100"/>
      <c r="NX323" s="100"/>
      <c r="NY323" s="100"/>
      <c r="NZ323" s="100"/>
      <c r="OA323" s="100"/>
      <c r="OB323" s="100"/>
      <c r="OC323" s="100"/>
      <c r="OD323" s="100"/>
      <c r="OE323" s="100"/>
      <c r="OF323" s="100"/>
      <c r="OG323" s="100"/>
      <c r="OH323" s="100"/>
      <c r="OI323" s="100"/>
      <c r="OJ323" s="100"/>
      <c r="OK323" s="100"/>
      <c r="OL323" s="100"/>
      <c r="OM323" s="100"/>
      <c r="ON323" s="100"/>
      <c r="OO323" s="100"/>
      <c r="OP323" s="100"/>
      <c r="OQ323" s="100"/>
      <c r="OR323" s="100"/>
      <c r="OS323" s="100"/>
      <c r="OT323" s="100"/>
      <c r="OU323" s="100"/>
      <c r="OV323" s="100"/>
      <c r="OW323" s="100"/>
      <c r="OX323" s="100"/>
      <c r="OY323" s="100"/>
      <c r="OZ323" s="100"/>
      <c r="PA323" s="100"/>
      <c r="PB323" s="100"/>
      <c r="PC323" s="100"/>
      <c r="PD323" s="100"/>
      <c r="PE323" s="100"/>
      <c r="PF323" s="100"/>
      <c r="PG323" s="100"/>
      <c r="PH323" s="100"/>
      <c r="PI323" s="100"/>
      <c r="PJ323" s="100"/>
      <c r="PK323" s="100"/>
      <c r="PL323" s="100"/>
      <c r="PM323" s="100"/>
      <c r="PN323" s="100"/>
      <c r="PO323" s="100"/>
      <c r="PP323" s="100"/>
      <c r="PQ323" s="100"/>
      <c r="PR323" s="100"/>
      <c r="PS323" s="100"/>
      <c r="PT323" s="100"/>
      <c r="PU323" s="100"/>
      <c r="PV323" s="100"/>
      <c r="PW323" s="100"/>
      <c r="PX323" s="100"/>
      <c r="PY323" s="100"/>
      <c r="PZ323" s="100"/>
      <c r="QA323" s="100"/>
      <c r="QB323" s="100"/>
      <c r="QC323" s="100"/>
      <c r="QD323" s="100"/>
      <c r="QE323" s="100"/>
      <c r="QF323" s="100"/>
      <c r="QG323" s="100"/>
      <c r="QH323" s="100"/>
      <c r="QI323" s="100"/>
      <c r="QJ323" s="100"/>
      <c r="QK323" s="100"/>
      <c r="QL323" s="100"/>
      <c r="QM323" s="100"/>
      <c r="QN323" s="100"/>
      <c r="QO323" s="100"/>
      <c r="QP323" s="100"/>
      <c r="QQ323" s="100"/>
      <c r="QR323" s="100"/>
      <c r="QS323" s="100"/>
      <c r="QT323" s="100"/>
      <c r="QU323" s="100"/>
      <c r="QV323" s="100"/>
      <c r="QW323" s="100"/>
      <c r="QX323" s="100"/>
      <c r="QY323" s="100"/>
      <c r="QZ323" s="100"/>
      <c r="RA323" s="100"/>
      <c r="RB323" s="100"/>
      <c r="RC323" s="100"/>
      <c r="RD323" s="100"/>
      <c r="RE323" s="100"/>
      <c r="RF323" s="100"/>
      <c r="RG323" s="100"/>
      <c r="RH323" s="100"/>
      <c r="RI323" s="100"/>
      <c r="RJ323" s="100"/>
      <c r="RK323" s="100"/>
      <c r="RL323" s="100"/>
      <c r="RM323" s="100"/>
      <c r="RN323" s="100"/>
      <c r="RO323" s="100"/>
      <c r="RP323" s="100"/>
      <c r="RQ323" s="100"/>
      <c r="RR323" s="100"/>
      <c r="RS323" s="100"/>
      <c r="RT323" s="100"/>
      <c r="RU323" s="100"/>
      <c r="RV323" s="100"/>
      <c r="RW323" s="100"/>
      <c r="RX323" s="100"/>
      <c r="RY323" s="100"/>
      <c r="RZ323" s="100"/>
      <c r="SA323" s="100"/>
      <c r="SB323" s="100"/>
      <c r="SC323" s="100"/>
      <c r="SD323" s="100"/>
      <c r="SE323" s="100"/>
      <c r="SF323" s="100"/>
      <c r="SG323" s="100"/>
      <c r="SH323" s="100"/>
      <c r="SI323" s="100"/>
      <c r="SJ323" s="100"/>
      <c r="SK323" s="100"/>
      <c r="SL323" s="100"/>
      <c r="SM323" s="100"/>
      <c r="SN323" s="100"/>
      <c r="SO323" s="100"/>
      <c r="SP323" s="100"/>
      <c r="SQ323" s="100"/>
      <c r="SR323" s="100"/>
      <c r="SS323" s="100"/>
      <c r="ST323" s="100"/>
      <c r="SU323" s="100"/>
      <c r="SV323" s="100"/>
      <c r="SW323" s="100"/>
      <c r="SX323" s="100"/>
      <c r="SY323" s="100"/>
      <c r="SZ323" s="100"/>
      <c r="TA323" s="100"/>
      <c r="TB323" s="100"/>
      <c r="TC323" s="100"/>
      <c r="TD323" s="100"/>
      <c r="TE323" s="100"/>
      <c r="TF323" s="100"/>
      <c r="TG323" s="100"/>
      <c r="TH323" s="100"/>
      <c r="TI323" s="100"/>
      <c r="TJ323" s="100"/>
      <c r="TK323" s="100"/>
      <c r="TL323" s="100"/>
      <c r="TM323" s="100"/>
      <c r="TN323" s="100"/>
      <c r="TO323" s="100"/>
      <c r="TP323" s="100"/>
      <c r="TQ323" s="100"/>
      <c r="TR323" s="100"/>
      <c r="TS323" s="100"/>
      <c r="TT323" s="100"/>
      <c r="TU323" s="100"/>
      <c r="TV323" s="100"/>
      <c r="TW323" s="100"/>
      <c r="TX323" s="100"/>
      <c r="TY323" s="100"/>
      <c r="TZ323" s="100"/>
      <c r="UA323" s="100"/>
      <c r="UB323" s="100"/>
      <c r="UC323" s="100"/>
      <c r="UD323" s="100"/>
      <c r="UE323" s="100"/>
      <c r="UF323" s="100"/>
      <c r="UG323" s="100"/>
      <c r="UH323" s="100"/>
      <c r="UI323" s="100"/>
      <c r="UJ323" s="100"/>
      <c r="UK323" s="100"/>
      <c r="UL323" s="100"/>
      <c r="UM323" s="100"/>
      <c r="UN323" s="100"/>
      <c r="UO323" s="100"/>
      <c r="UP323" s="100"/>
      <c r="UQ323" s="100"/>
      <c r="UR323" s="100"/>
      <c r="US323" s="100"/>
      <c r="UT323" s="100"/>
      <c r="UU323" s="100"/>
      <c r="UV323" s="100"/>
      <c r="UW323" s="100"/>
      <c r="UX323" s="100"/>
      <c r="UY323" s="100"/>
      <c r="UZ323" s="100"/>
      <c r="VA323" s="100"/>
      <c r="VB323" s="100"/>
      <c r="VC323" s="100"/>
      <c r="VD323" s="100"/>
      <c r="VE323" s="100"/>
      <c r="VF323" s="100"/>
      <c r="VG323" s="100"/>
      <c r="VH323" s="100"/>
      <c r="VI323" s="100"/>
      <c r="VJ323" s="100"/>
      <c r="VK323" s="100"/>
      <c r="VL323" s="100"/>
      <c r="VM323" s="100"/>
      <c r="VN323" s="100"/>
      <c r="VO323" s="100"/>
      <c r="VP323" s="100"/>
      <c r="VQ323" s="100"/>
      <c r="VR323" s="100"/>
      <c r="VS323" s="100"/>
      <c r="VT323" s="100"/>
      <c r="VU323" s="100"/>
      <c r="VV323" s="100"/>
      <c r="VW323" s="100"/>
      <c r="VX323" s="100"/>
      <c r="VY323" s="100"/>
      <c r="VZ323" s="100"/>
      <c r="WA323" s="100"/>
      <c r="WB323" s="100"/>
      <c r="WC323" s="100"/>
      <c r="WD323" s="100"/>
      <c r="WE323" s="100"/>
      <c r="WF323" s="100"/>
      <c r="WG323" s="100"/>
      <c r="WH323" s="100"/>
      <c r="WI323" s="100"/>
      <c r="WJ323" s="100"/>
      <c r="WK323" s="100"/>
      <c r="WL323" s="100"/>
      <c r="WM323" s="100"/>
      <c r="WN323" s="100"/>
      <c r="WO323" s="100"/>
      <c r="WP323" s="100"/>
      <c r="WQ323" s="100"/>
      <c r="WR323" s="100"/>
      <c r="WS323" s="100"/>
      <c r="WT323" s="100"/>
      <c r="WU323" s="100"/>
      <c r="WV323" s="100"/>
      <c r="WW323" s="100"/>
      <c r="WX323" s="100"/>
      <c r="WY323" s="100"/>
      <c r="WZ323" s="100"/>
      <c r="XA323" s="100"/>
      <c r="XB323" s="100"/>
      <c r="XC323" s="100"/>
      <c r="XD323" s="100"/>
      <c r="XE323" s="100"/>
      <c r="XF323" s="100"/>
      <c r="XG323" s="100"/>
      <c r="XH323" s="100"/>
      <c r="XI323" s="100"/>
      <c r="XJ323" s="100"/>
      <c r="XK323" s="100"/>
      <c r="XL323" s="100"/>
      <c r="XM323" s="100"/>
      <c r="XN323" s="100"/>
      <c r="XO323" s="100"/>
      <c r="XP323" s="100"/>
      <c r="XQ323" s="100"/>
      <c r="XR323" s="100"/>
      <c r="XS323" s="100"/>
      <c r="XT323" s="100"/>
      <c r="XU323" s="100"/>
      <c r="XV323" s="100"/>
      <c r="XW323" s="100"/>
      <c r="XX323" s="100"/>
      <c r="XY323" s="100"/>
      <c r="XZ323" s="100"/>
      <c r="YA323" s="100"/>
      <c r="YB323" s="100"/>
      <c r="YC323" s="100"/>
      <c r="YD323" s="100"/>
      <c r="YE323" s="100"/>
      <c r="YF323" s="100"/>
      <c r="YG323" s="100"/>
      <c r="YH323" s="100"/>
      <c r="YI323" s="100"/>
      <c r="YJ323" s="100"/>
      <c r="YK323" s="100"/>
      <c r="YL323" s="100"/>
      <c r="YM323" s="100"/>
      <c r="YN323" s="100"/>
      <c r="YO323" s="100"/>
      <c r="YP323" s="100"/>
      <c r="YQ323" s="100"/>
      <c r="YR323" s="100"/>
      <c r="YS323" s="100"/>
      <c r="YT323" s="100"/>
      <c r="YU323" s="100"/>
      <c r="YV323" s="100"/>
      <c r="YW323" s="100"/>
      <c r="YX323" s="100"/>
      <c r="YY323" s="100"/>
      <c r="YZ323" s="100"/>
      <c r="ZA323" s="100"/>
      <c r="ZB323" s="100"/>
      <c r="ZC323" s="100"/>
      <c r="ZD323" s="100"/>
      <c r="ZE323" s="100"/>
      <c r="ZF323" s="100"/>
      <c r="ZG323" s="100"/>
      <c r="ZH323" s="100"/>
      <c r="ZI323" s="100"/>
      <c r="ZJ323" s="100"/>
      <c r="ZK323" s="100"/>
      <c r="ZL323" s="100"/>
      <c r="ZM323" s="100"/>
      <c r="ZN323" s="100"/>
      <c r="ZO323" s="100"/>
      <c r="ZP323" s="100"/>
      <c r="ZQ323" s="100"/>
      <c r="ZR323" s="100"/>
      <c r="ZS323" s="100"/>
      <c r="ZT323" s="100"/>
      <c r="ZU323" s="100"/>
      <c r="ZV323" s="100"/>
      <c r="ZW323" s="100"/>
      <c r="ZX323" s="100"/>
      <c r="ZY323" s="100"/>
      <c r="ZZ323" s="100"/>
      <c r="AAA323" s="100"/>
      <c r="AAB323" s="100"/>
      <c r="AAC323" s="100"/>
      <c r="AAD323" s="100"/>
      <c r="AAE323" s="100"/>
      <c r="AAF323" s="100"/>
      <c r="AAG323" s="100"/>
      <c r="AAH323" s="100"/>
      <c r="AAI323" s="100"/>
      <c r="AAJ323" s="100"/>
      <c r="AAK323" s="100"/>
      <c r="AAL323" s="100"/>
      <c r="AAM323" s="100"/>
      <c r="AAN323" s="100"/>
      <c r="AAO323" s="100"/>
      <c r="AAP323" s="100"/>
      <c r="AAQ323" s="100"/>
      <c r="AAR323" s="100"/>
      <c r="AAS323" s="100"/>
      <c r="AAT323" s="100"/>
      <c r="AAU323" s="100"/>
      <c r="AAV323" s="100"/>
      <c r="AAW323" s="100"/>
      <c r="AAX323" s="100"/>
      <c r="AAY323" s="100"/>
      <c r="AAZ323" s="100"/>
      <c r="ABA323" s="100"/>
      <c r="ABB323" s="100"/>
      <c r="ABC323" s="100"/>
      <c r="ABD323" s="100"/>
      <c r="ABE323" s="100"/>
      <c r="ABF323" s="100"/>
      <c r="ABG323" s="100"/>
      <c r="ABH323" s="100"/>
      <c r="ABI323" s="100"/>
      <c r="ABJ323" s="100"/>
      <c r="ABK323" s="100"/>
      <c r="ABL323" s="100"/>
      <c r="ABM323" s="100"/>
      <c r="ABN323" s="100"/>
      <c r="ABO323" s="100"/>
      <c r="ABP323" s="100"/>
      <c r="ABQ323" s="100"/>
      <c r="ABR323" s="100"/>
      <c r="ABS323" s="100"/>
      <c r="ABT323" s="100"/>
      <c r="ABU323" s="100"/>
      <c r="ABV323" s="100"/>
      <c r="ABW323" s="100"/>
      <c r="ABX323" s="100"/>
      <c r="ABY323" s="100"/>
      <c r="ABZ323" s="100"/>
      <c r="ACA323" s="100"/>
      <c r="ACB323" s="100"/>
      <c r="ACC323" s="100"/>
      <c r="ACD323" s="100"/>
      <c r="ACE323" s="100"/>
      <c r="ACF323" s="100"/>
      <c r="ACG323" s="100"/>
      <c r="ACH323" s="100"/>
      <c r="ACI323" s="100"/>
      <c r="ACJ323" s="100"/>
      <c r="ACK323" s="100"/>
      <c r="ACL323" s="100"/>
      <c r="ACM323" s="100"/>
      <c r="ACN323" s="100"/>
      <c r="ACO323" s="100"/>
      <c r="ACP323" s="100"/>
      <c r="ACQ323" s="100"/>
      <c r="ACR323" s="100"/>
      <c r="ACS323" s="100"/>
      <c r="ACT323" s="100"/>
      <c r="ACU323" s="100"/>
      <c r="ACV323" s="100"/>
      <c r="ACW323" s="100"/>
      <c r="ACX323" s="100"/>
      <c r="ACY323" s="100"/>
      <c r="ACZ323" s="100"/>
      <c r="ADA323" s="100"/>
      <c r="ADB323" s="100"/>
      <c r="ADC323" s="100"/>
      <c r="ADD323" s="100"/>
      <c r="ADE323" s="100"/>
      <c r="ADF323" s="100"/>
      <c r="ADG323" s="100"/>
      <c r="ADH323" s="100"/>
      <c r="ADI323" s="100"/>
      <c r="ADJ323" s="100"/>
      <c r="ADK323" s="100"/>
      <c r="ADL323" s="100"/>
      <c r="ADM323" s="100"/>
      <c r="ADN323" s="100"/>
      <c r="ADO323" s="100"/>
      <c r="ADP323" s="100"/>
      <c r="ADQ323" s="100"/>
      <c r="ADR323" s="100"/>
      <c r="ADS323" s="100"/>
      <c r="ADT323" s="100"/>
      <c r="ADU323" s="100"/>
      <c r="ADV323" s="100"/>
      <c r="ADW323" s="100"/>
      <c r="ADX323" s="100"/>
      <c r="ADY323" s="100"/>
      <c r="ADZ323" s="100"/>
      <c r="AEA323" s="100"/>
      <c r="AEB323" s="100"/>
      <c r="AEC323" s="100"/>
      <c r="AED323" s="100"/>
      <c r="AEE323" s="100"/>
      <c r="AEF323" s="100"/>
      <c r="AEG323" s="100"/>
      <c r="AEH323" s="100"/>
      <c r="AEI323" s="100"/>
      <c r="AEJ323" s="100"/>
      <c r="AEK323" s="100"/>
      <c r="AEL323" s="100"/>
      <c r="AEM323" s="100"/>
      <c r="AEN323" s="100"/>
      <c r="AEO323" s="100"/>
      <c r="AEP323" s="100"/>
      <c r="AEQ323" s="100"/>
      <c r="AER323" s="100"/>
      <c r="AES323" s="100"/>
      <c r="AET323" s="100"/>
      <c r="AEU323" s="100"/>
      <c r="AEV323" s="100"/>
      <c r="AEW323" s="100"/>
      <c r="AEX323" s="100"/>
      <c r="AEY323" s="100"/>
      <c r="AEZ323" s="100"/>
      <c r="AFA323" s="100"/>
      <c r="AFB323" s="100"/>
      <c r="AFC323" s="100"/>
      <c r="AFD323" s="100"/>
      <c r="AFE323" s="100"/>
      <c r="AFF323" s="100"/>
      <c r="AFG323" s="100"/>
      <c r="AFH323" s="100"/>
      <c r="AFI323" s="100"/>
      <c r="AFJ323" s="100"/>
      <c r="AFK323" s="100"/>
      <c r="AFL323" s="100"/>
      <c r="AFM323" s="100"/>
      <c r="AFN323" s="100"/>
      <c r="AFO323" s="100"/>
      <c r="AFP323" s="100"/>
      <c r="AFQ323" s="100"/>
      <c r="AFR323" s="100"/>
      <c r="AFS323" s="100"/>
      <c r="AFT323" s="100"/>
      <c r="AFU323" s="100"/>
      <c r="AFV323" s="100"/>
      <c r="AFW323" s="100"/>
      <c r="AFX323" s="100"/>
      <c r="AFY323" s="100"/>
      <c r="AFZ323" s="100"/>
      <c r="AGA323" s="100"/>
      <c r="AGB323" s="100"/>
      <c r="AGC323" s="100"/>
      <c r="AGD323" s="100"/>
      <c r="AGE323" s="100"/>
      <c r="AGF323" s="100"/>
      <c r="AGG323" s="100"/>
      <c r="AGH323" s="100"/>
      <c r="AGI323" s="100"/>
      <c r="AGJ323" s="100"/>
      <c r="AGK323" s="100"/>
      <c r="AGL323" s="100"/>
      <c r="AGM323" s="100"/>
      <c r="AGN323" s="100"/>
      <c r="AGO323" s="100"/>
      <c r="AGP323" s="100"/>
      <c r="AGQ323" s="100"/>
      <c r="AGR323" s="100"/>
      <c r="AGS323" s="100"/>
      <c r="AGT323" s="100"/>
      <c r="AGU323" s="100"/>
      <c r="AGV323" s="100"/>
      <c r="AGW323" s="100"/>
      <c r="AGX323" s="100"/>
      <c r="AGY323" s="100"/>
      <c r="AGZ323" s="100"/>
      <c r="AHA323" s="100"/>
      <c r="AHB323" s="100"/>
      <c r="AHC323" s="100"/>
      <c r="AHD323" s="100"/>
      <c r="AHE323" s="100"/>
      <c r="AHF323" s="100"/>
      <c r="AHG323" s="100"/>
      <c r="AHH323" s="100"/>
      <c r="AHI323" s="100"/>
      <c r="AHJ323" s="100"/>
      <c r="AHK323" s="100"/>
      <c r="AHL323" s="100"/>
      <c r="AHM323" s="100"/>
      <c r="AHN323" s="100"/>
      <c r="AHO323" s="100"/>
      <c r="AHP323" s="100"/>
      <c r="AHQ323" s="100"/>
      <c r="AHR323" s="100"/>
      <c r="AHS323" s="100"/>
      <c r="AHT323" s="100"/>
      <c r="AHU323" s="100"/>
      <c r="AHV323" s="100"/>
      <c r="AHW323" s="100"/>
      <c r="AHX323" s="100"/>
      <c r="AHY323" s="100"/>
      <c r="AHZ323" s="100"/>
      <c r="AIA323" s="100"/>
      <c r="AIB323" s="100"/>
      <c r="AIC323" s="100"/>
      <c r="AID323" s="100"/>
      <c r="AIE323" s="100"/>
      <c r="AIF323" s="100"/>
      <c r="AIG323" s="100"/>
      <c r="AIH323" s="100"/>
      <c r="AII323" s="100"/>
      <c r="AIJ323" s="100"/>
      <c r="AIK323" s="100"/>
      <c r="AIL323" s="100"/>
      <c r="AIM323" s="100"/>
      <c r="AIN323" s="100"/>
      <c r="AIO323" s="100"/>
      <c r="AIP323" s="100"/>
      <c r="AIQ323" s="100"/>
      <c r="AIR323" s="100"/>
      <c r="AIS323" s="100"/>
      <c r="AIT323" s="100"/>
      <c r="AIU323" s="100"/>
      <c r="AIV323" s="100"/>
      <c r="AIW323" s="100"/>
      <c r="AIX323" s="100"/>
      <c r="AIY323" s="100"/>
      <c r="AIZ323" s="100"/>
      <c r="AJA323" s="100"/>
      <c r="AJB323" s="100"/>
      <c r="AJC323" s="100"/>
      <c r="AJD323" s="100"/>
      <c r="AJE323" s="100"/>
      <c r="AJF323" s="100"/>
      <c r="AJG323" s="100"/>
      <c r="AJH323" s="100"/>
      <c r="AJI323" s="100"/>
      <c r="AJJ323" s="100"/>
      <c r="AJK323" s="100"/>
      <c r="AJL323" s="100"/>
      <c r="AJM323" s="100"/>
      <c r="AJN323" s="100"/>
      <c r="AJO323" s="100"/>
      <c r="AJP323" s="100"/>
      <c r="AJQ323" s="100"/>
      <c r="AJR323" s="100"/>
      <c r="AJS323" s="100"/>
      <c r="AJT323" s="100"/>
      <c r="AJU323" s="100"/>
      <c r="AJV323" s="100"/>
      <c r="AJW323" s="100"/>
      <c r="AJX323" s="100"/>
      <c r="AJY323" s="100"/>
      <c r="AJZ323" s="100"/>
      <c r="AKA323" s="100"/>
      <c r="AKB323" s="100"/>
      <c r="AKC323" s="100"/>
      <c r="AKD323" s="100"/>
      <c r="AKE323" s="100"/>
      <c r="AKF323" s="100"/>
      <c r="AKG323" s="100"/>
      <c r="AKH323" s="100"/>
      <c r="AKI323" s="100"/>
      <c r="AKJ323" s="100"/>
      <c r="AKK323" s="100"/>
      <c r="AKL323" s="100"/>
      <c r="AKM323" s="100"/>
      <c r="AKN323" s="100"/>
      <c r="AKO323" s="100"/>
      <c r="AKP323" s="100"/>
      <c r="AKQ323" s="100"/>
      <c r="AKR323" s="100"/>
      <c r="AKS323" s="100"/>
      <c r="AKT323" s="100"/>
      <c r="AKU323" s="100"/>
      <c r="AKV323" s="100"/>
      <c r="AKW323" s="100"/>
      <c r="AKX323" s="100"/>
      <c r="AKY323" s="100"/>
      <c r="AKZ323" s="100"/>
      <c r="ALA323" s="100"/>
      <c r="ALB323" s="100"/>
      <c r="ALC323" s="100"/>
      <c r="ALD323" s="100"/>
      <c r="ALE323" s="100"/>
      <c r="ALF323" s="100"/>
      <c r="ALG323" s="100"/>
      <c r="ALH323" s="100"/>
      <c r="ALI323" s="100"/>
      <c r="ALJ323" s="100"/>
      <c r="ALK323" s="100"/>
      <c r="ALL323" s="100"/>
      <c r="ALM323" s="100"/>
      <c r="ALN323" s="100"/>
      <c r="ALO323" s="100"/>
      <c r="ALP323" s="100"/>
      <c r="ALQ323" s="100"/>
      <c r="ALR323" s="100"/>
      <c r="ALS323" s="100"/>
      <c r="ALT323" s="100"/>
      <c r="ALU323" s="100"/>
      <c r="ALV323" s="100"/>
      <c r="ALW323" s="100"/>
      <c r="ALX323" s="100"/>
      <c r="ALY323" s="100"/>
      <c r="ALZ323" s="100"/>
      <c r="AMA323" s="100"/>
      <c r="AMB323" s="100"/>
      <c r="AMC323" s="100"/>
      <c r="AMD323" s="100"/>
    </row>
    <row r="324" spans="1:1018" s="127" customFormat="1" ht="11.25" customHeight="1" x14ac:dyDescent="0.15">
      <c r="A324" s="129" t="s">
        <v>436</v>
      </c>
      <c r="B324" s="126">
        <v>1</v>
      </c>
      <c r="C324" s="114">
        <v>317</v>
      </c>
      <c r="D324" s="115" t="s">
        <v>460</v>
      </c>
      <c r="E324" s="171">
        <v>245</v>
      </c>
      <c r="F324" s="113">
        <f>ROUND(E324*Valores!$C$2,2)</f>
        <v>23962.47</v>
      </c>
      <c r="G324" s="169">
        <v>0</v>
      </c>
      <c r="H324" s="113">
        <f>ROUND(G324*Valores!$C$2,2)</f>
        <v>0</v>
      </c>
      <c r="I324" s="169">
        <v>0</v>
      </c>
      <c r="J324" s="113">
        <f>ROUND(I324*Valores!$C$2,2)</f>
        <v>0</v>
      </c>
      <c r="K324" s="169">
        <v>0</v>
      </c>
      <c r="L324" s="113">
        <f>ROUND(K324*Valores!$C$2,2)</f>
        <v>0</v>
      </c>
      <c r="M324" s="113">
        <f>ROUND(IF($H$2=0,IF(AND(A324&lt;&gt;"13-930",A324&lt;&gt;"13-940"),(SUM(F324,L324,W324,S324,Q324)*Valores!$C$4),0),0),2)</f>
        <v>0</v>
      </c>
      <c r="N324" s="113">
        <f t="shared" si="54"/>
        <v>0</v>
      </c>
      <c r="O324" s="113">
        <f>Valores!C$63*B324</f>
        <v>6846.24</v>
      </c>
      <c r="P324" s="113">
        <v>0</v>
      </c>
      <c r="Q324" s="113">
        <f>IF($F$4="NO",Valores!$C$29,Valores!$C$29/2)</f>
        <v>2597.48</v>
      </c>
      <c r="R324" s="113">
        <v>0</v>
      </c>
      <c r="S324" s="113">
        <f t="shared" si="55"/>
        <v>0</v>
      </c>
      <c r="T324" s="113">
        <v>0</v>
      </c>
      <c r="U324" s="113">
        <v>0</v>
      </c>
      <c r="V324" s="169">
        <v>0</v>
      </c>
      <c r="W324" s="113">
        <f>ROUND(V324*Valores!$C$2,2)</f>
        <v>0</v>
      </c>
      <c r="X324" s="113">
        <v>0</v>
      </c>
      <c r="Y324" s="188">
        <v>0</v>
      </c>
      <c r="Z324" s="113">
        <v>0</v>
      </c>
      <c r="AA324" s="169">
        <v>0</v>
      </c>
      <c r="AB324" s="113">
        <f>ROUND(AA324*Valores!$C$2,2)</f>
        <v>0</v>
      </c>
      <c r="AC324" s="113">
        <f>ROUND(IF($F$4="NO",Valores!$C$34*B324,Valores!$C$34*B324/2),2)</f>
        <v>2353.7600000000002</v>
      </c>
      <c r="AD324" s="113">
        <f>SUM(F324,H324,J324,L324,M324,N324,O324,P324,Q324,S324,T324,U324,W324,X324,Z324,AB324,AC324)*Valores!$C$58</f>
        <v>3575.9950000000008</v>
      </c>
      <c r="AE324" s="113">
        <f t="shared" si="49"/>
        <v>39335.945000000007</v>
      </c>
      <c r="AF324" s="113">
        <v>4666.67</v>
      </c>
      <c r="AG324" s="113">
        <f>AE324*Valores!$C$60*Valores!$C$61</f>
        <v>0</v>
      </c>
      <c r="AH324" s="113">
        <f t="shared" si="45"/>
        <v>4666.67</v>
      </c>
      <c r="AI324" s="113">
        <f>AE324*Valores!$C$39</f>
        <v>-4326.953950000001</v>
      </c>
      <c r="AJ324" s="113">
        <f>IF(AE324&lt;Valores!$E$40,-0.02,IF(AE324&lt;Valores!$F$40,-0.03,-0.04))*AE324</f>
        <v>-786.71890000000019</v>
      </c>
      <c r="AK324" s="113">
        <f>AE324*Valores!$C$42</f>
        <v>-2163.4769750000005</v>
      </c>
      <c r="AL324" s="113">
        <v>0</v>
      </c>
      <c r="AM324" s="113">
        <v>0</v>
      </c>
      <c r="AN324" s="113">
        <f t="shared" si="50"/>
        <v>36725.465175000005</v>
      </c>
      <c r="AO324" s="113">
        <f t="shared" si="44"/>
        <v>-4326.953950000001</v>
      </c>
      <c r="AP324" s="113">
        <f t="shared" si="51"/>
        <v>-786.71890000000019</v>
      </c>
      <c r="AQ324" s="113">
        <f>AE324*Valores!$C$43</f>
        <v>-1062.0705150000001</v>
      </c>
      <c r="AR324" s="113">
        <f>AE324*Valores!$C$44</f>
        <v>-118.00783500000003</v>
      </c>
      <c r="AS324" s="113">
        <f t="shared" si="46"/>
        <v>37708.863800000006</v>
      </c>
      <c r="AT324" s="113">
        <f>AE324*Valores!$C$46</f>
        <v>6293.7512000000015</v>
      </c>
      <c r="AU324" s="113">
        <f>AE324*Valores!$C$47</f>
        <v>2753.5161500000008</v>
      </c>
      <c r="AV324" s="113">
        <f>AE324*Valores!$C$48</f>
        <v>393.35945000000009</v>
      </c>
      <c r="AW324" s="113">
        <f>AE324*Valores!$C$50</f>
        <v>1376.7580750000004</v>
      </c>
      <c r="AX324" s="113">
        <f>AE324*Valores!$C$52</f>
        <v>2124.1410300000002</v>
      </c>
      <c r="AY324" s="113">
        <f>AE324*Valores!$C$51</f>
        <v>236.01567000000006</v>
      </c>
      <c r="AZ324" s="114"/>
      <c r="BA324" s="114"/>
      <c r="BB324" s="111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  <c r="EO324" s="100"/>
      <c r="EP324" s="100"/>
      <c r="EQ324" s="100"/>
      <c r="ER324" s="100"/>
      <c r="ES324" s="100"/>
      <c r="ET324" s="100"/>
      <c r="EU324" s="100"/>
      <c r="EV324" s="100"/>
      <c r="EW324" s="100"/>
      <c r="EX324" s="100"/>
      <c r="EY324" s="100"/>
      <c r="EZ324" s="100"/>
      <c r="FA324" s="100"/>
      <c r="FB324" s="100"/>
      <c r="FC324" s="100"/>
      <c r="FD324" s="100"/>
      <c r="FE324" s="100"/>
      <c r="FF324" s="100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0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0"/>
      <c r="GC324" s="100"/>
      <c r="GD324" s="100"/>
      <c r="GE324" s="100"/>
      <c r="GF324" s="100"/>
      <c r="GG324" s="100"/>
      <c r="GH324" s="100"/>
      <c r="GI324" s="100"/>
      <c r="GJ324" s="100"/>
      <c r="GK324" s="100"/>
      <c r="GL324" s="100"/>
      <c r="GM324" s="100"/>
      <c r="GN324" s="100"/>
      <c r="GO324" s="100"/>
      <c r="GP324" s="100"/>
      <c r="GQ324" s="100"/>
      <c r="GR324" s="100"/>
      <c r="GS324" s="100"/>
      <c r="GT324" s="100"/>
      <c r="GU324" s="100"/>
      <c r="GV324" s="100"/>
      <c r="GW324" s="100"/>
      <c r="GX324" s="100"/>
      <c r="GY324" s="100"/>
      <c r="GZ324" s="100"/>
      <c r="HA324" s="100"/>
      <c r="HB324" s="100"/>
      <c r="HC324" s="100"/>
      <c r="HD324" s="100"/>
      <c r="HE324" s="100"/>
      <c r="HF324" s="100"/>
      <c r="HG324" s="100"/>
      <c r="HH324" s="100"/>
      <c r="HI324" s="100"/>
      <c r="HJ324" s="100"/>
      <c r="HK324" s="100"/>
      <c r="HL324" s="100"/>
      <c r="HM324" s="100"/>
      <c r="HN324" s="100"/>
      <c r="HO324" s="100"/>
      <c r="HP324" s="100"/>
      <c r="HQ324" s="100"/>
      <c r="HR324" s="100"/>
      <c r="HS324" s="100"/>
      <c r="HT324" s="100"/>
      <c r="HU324" s="100"/>
      <c r="HV324" s="100"/>
      <c r="HW324" s="100"/>
      <c r="HX324" s="100"/>
      <c r="HY324" s="100"/>
      <c r="HZ324" s="100"/>
      <c r="IA324" s="100"/>
      <c r="IB324" s="100"/>
      <c r="IC324" s="100"/>
      <c r="ID324" s="100"/>
      <c r="IE324" s="100"/>
      <c r="IF324" s="100"/>
      <c r="IG324" s="100"/>
      <c r="IH324" s="100"/>
      <c r="II324" s="100"/>
      <c r="IJ324" s="100"/>
      <c r="IK324" s="100"/>
      <c r="IL324" s="100"/>
      <c r="IM324" s="100"/>
      <c r="IN324" s="100"/>
      <c r="IO324" s="100"/>
      <c r="IP324" s="100"/>
      <c r="IQ324" s="100"/>
      <c r="IR324" s="100"/>
      <c r="IS324" s="100"/>
      <c r="IT324" s="100"/>
      <c r="IU324" s="100"/>
      <c r="IV324" s="100"/>
      <c r="IW324" s="100"/>
      <c r="IX324" s="100"/>
      <c r="IY324" s="100"/>
      <c r="IZ324" s="100"/>
      <c r="JA324" s="100"/>
      <c r="JB324" s="100"/>
      <c r="JC324" s="100"/>
      <c r="JD324" s="100"/>
      <c r="JE324" s="100"/>
      <c r="JF324" s="100"/>
      <c r="JG324" s="100"/>
      <c r="JH324" s="100"/>
      <c r="JI324" s="100"/>
      <c r="JJ324" s="100"/>
      <c r="JK324" s="100"/>
      <c r="JL324" s="100"/>
      <c r="JM324" s="100"/>
      <c r="JN324" s="100"/>
      <c r="JO324" s="100"/>
      <c r="JP324" s="100"/>
      <c r="JQ324" s="100"/>
      <c r="JR324" s="100"/>
      <c r="JS324" s="100"/>
      <c r="JT324" s="100"/>
      <c r="JU324" s="100"/>
      <c r="JV324" s="100"/>
      <c r="JW324" s="100"/>
      <c r="JX324" s="100"/>
      <c r="JY324" s="100"/>
      <c r="JZ324" s="100"/>
      <c r="KA324" s="100"/>
      <c r="KB324" s="100"/>
      <c r="KC324" s="100"/>
      <c r="KD324" s="100"/>
      <c r="KE324" s="100"/>
      <c r="KF324" s="100"/>
      <c r="KG324" s="100"/>
      <c r="KH324" s="100"/>
      <c r="KI324" s="100"/>
      <c r="KJ324" s="100"/>
      <c r="KK324" s="100"/>
      <c r="KL324" s="100"/>
      <c r="KM324" s="100"/>
      <c r="KN324" s="100"/>
      <c r="KO324" s="100"/>
      <c r="KP324" s="100"/>
      <c r="KQ324" s="100"/>
      <c r="KR324" s="100"/>
      <c r="KS324" s="100"/>
      <c r="KT324" s="100"/>
      <c r="KU324" s="100"/>
      <c r="KV324" s="100"/>
      <c r="KW324" s="100"/>
      <c r="KX324" s="100"/>
      <c r="KY324" s="100"/>
      <c r="KZ324" s="100"/>
      <c r="LA324" s="100"/>
      <c r="LB324" s="100"/>
      <c r="LC324" s="100"/>
      <c r="LD324" s="100"/>
      <c r="LE324" s="100"/>
      <c r="LF324" s="100"/>
      <c r="LG324" s="100"/>
      <c r="LH324" s="100"/>
      <c r="LI324" s="100"/>
      <c r="LJ324" s="100"/>
      <c r="LK324" s="100"/>
      <c r="LL324" s="100"/>
      <c r="LM324" s="100"/>
      <c r="LN324" s="100"/>
      <c r="LO324" s="100"/>
      <c r="LP324" s="100"/>
      <c r="LQ324" s="100"/>
      <c r="LR324" s="100"/>
      <c r="LS324" s="100"/>
      <c r="LT324" s="100"/>
      <c r="LU324" s="100"/>
      <c r="LV324" s="100"/>
      <c r="LW324" s="100"/>
      <c r="LX324" s="100"/>
      <c r="LY324" s="100"/>
      <c r="LZ324" s="100"/>
      <c r="MA324" s="100"/>
      <c r="MB324" s="100"/>
      <c r="MC324" s="100"/>
      <c r="MD324" s="100"/>
      <c r="ME324" s="100"/>
      <c r="MF324" s="100"/>
      <c r="MG324" s="100"/>
      <c r="MH324" s="100"/>
      <c r="MI324" s="100"/>
      <c r="MJ324" s="100"/>
      <c r="MK324" s="100"/>
      <c r="ML324" s="100"/>
      <c r="MM324" s="100"/>
      <c r="MN324" s="100"/>
      <c r="MO324" s="100"/>
      <c r="MP324" s="100"/>
      <c r="MQ324" s="100"/>
      <c r="MR324" s="100"/>
      <c r="MS324" s="100"/>
      <c r="MT324" s="100"/>
      <c r="MU324" s="100"/>
      <c r="MV324" s="100"/>
      <c r="MW324" s="100"/>
      <c r="MX324" s="100"/>
      <c r="MY324" s="100"/>
      <c r="MZ324" s="100"/>
      <c r="NA324" s="100"/>
      <c r="NB324" s="100"/>
      <c r="NC324" s="100"/>
      <c r="ND324" s="100"/>
      <c r="NE324" s="100"/>
      <c r="NF324" s="100"/>
      <c r="NG324" s="100"/>
      <c r="NH324" s="100"/>
      <c r="NI324" s="100"/>
      <c r="NJ324" s="100"/>
      <c r="NK324" s="100"/>
      <c r="NL324" s="100"/>
      <c r="NM324" s="100"/>
      <c r="NN324" s="100"/>
      <c r="NO324" s="100"/>
      <c r="NP324" s="100"/>
      <c r="NQ324" s="100"/>
      <c r="NR324" s="100"/>
      <c r="NS324" s="100"/>
      <c r="NT324" s="100"/>
      <c r="NU324" s="100"/>
      <c r="NV324" s="100"/>
      <c r="NW324" s="100"/>
      <c r="NX324" s="100"/>
      <c r="NY324" s="100"/>
      <c r="NZ324" s="100"/>
      <c r="OA324" s="100"/>
      <c r="OB324" s="100"/>
      <c r="OC324" s="100"/>
      <c r="OD324" s="100"/>
      <c r="OE324" s="100"/>
      <c r="OF324" s="100"/>
      <c r="OG324" s="100"/>
      <c r="OH324" s="100"/>
      <c r="OI324" s="100"/>
      <c r="OJ324" s="100"/>
      <c r="OK324" s="100"/>
      <c r="OL324" s="100"/>
      <c r="OM324" s="100"/>
      <c r="ON324" s="100"/>
      <c r="OO324" s="100"/>
      <c r="OP324" s="100"/>
      <c r="OQ324" s="100"/>
      <c r="OR324" s="100"/>
      <c r="OS324" s="100"/>
      <c r="OT324" s="100"/>
      <c r="OU324" s="100"/>
      <c r="OV324" s="100"/>
      <c r="OW324" s="100"/>
      <c r="OX324" s="100"/>
      <c r="OY324" s="100"/>
      <c r="OZ324" s="100"/>
      <c r="PA324" s="100"/>
      <c r="PB324" s="100"/>
      <c r="PC324" s="100"/>
      <c r="PD324" s="100"/>
      <c r="PE324" s="100"/>
      <c r="PF324" s="100"/>
      <c r="PG324" s="100"/>
      <c r="PH324" s="100"/>
      <c r="PI324" s="100"/>
      <c r="PJ324" s="100"/>
      <c r="PK324" s="100"/>
      <c r="PL324" s="100"/>
      <c r="PM324" s="100"/>
      <c r="PN324" s="100"/>
      <c r="PO324" s="100"/>
      <c r="PP324" s="100"/>
      <c r="PQ324" s="100"/>
      <c r="PR324" s="100"/>
      <c r="PS324" s="100"/>
      <c r="PT324" s="100"/>
      <c r="PU324" s="100"/>
      <c r="PV324" s="100"/>
      <c r="PW324" s="100"/>
      <c r="PX324" s="100"/>
      <c r="PY324" s="100"/>
      <c r="PZ324" s="100"/>
      <c r="QA324" s="100"/>
      <c r="QB324" s="100"/>
      <c r="QC324" s="100"/>
      <c r="QD324" s="100"/>
      <c r="QE324" s="100"/>
      <c r="QF324" s="100"/>
      <c r="QG324" s="100"/>
      <c r="QH324" s="100"/>
      <c r="QI324" s="100"/>
      <c r="QJ324" s="100"/>
      <c r="QK324" s="100"/>
      <c r="QL324" s="100"/>
      <c r="QM324" s="100"/>
      <c r="QN324" s="100"/>
      <c r="QO324" s="100"/>
      <c r="QP324" s="100"/>
      <c r="QQ324" s="100"/>
      <c r="QR324" s="100"/>
      <c r="QS324" s="100"/>
      <c r="QT324" s="100"/>
      <c r="QU324" s="100"/>
      <c r="QV324" s="100"/>
      <c r="QW324" s="100"/>
      <c r="QX324" s="100"/>
      <c r="QY324" s="100"/>
      <c r="QZ324" s="100"/>
      <c r="RA324" s="100"/>
      <c r="RB324" s="100"/>
      <c r="RC324" s="100"/>
      <c r="RD324" s="100"/>
      <c r="RE324" s="100"/>
      <c r="RF324" s="100"/>
      <c r="RG324" s="100"/>
      <c r="RH324" s="100"/>
      <c r="RI324" s="100"/>
      <c r="RJ324" s="100"/>
      <c r="RK324" s="100"/>
      <c r="RL324" s="100"/>
      <c r="RM324" s="100"/>
      <c r="RN324" s="100"/>
      <c r="RO324" s="100"/>
      <c r="RP324" s="100"/>
      <c r="RQ324" s="100"/>
      <c r="RR324" s="100"/>
      <c r="RS324" s="100"/>
      <c r="RT324" s="100"/>
      <c r="RU324" s="100"/>
      <c r="RV324" s="100"/>
      <c r="RW324" s="100"/>
      <c r="RX324" s="100"/>
      <c r="RY324" s="100"/>
      <c r="RZ324" s="100"/>
      <c r="SA324" s="100"/>
      <c r="SB324" s="100"/>
      <c r="SC324" s="100"/>
      <c r="SD324" s="100"/>
      <c r="SE324" s="100"/>
      <c r="SF324" s="100"/>
      <c r="SG324" s="100"/>
      <c r="SH324" s="100"/>
      <c r="SI324" s="100"/>
      <c r="SJ324" s="100"/>
      <c r="SK324" s="100"/>
      <c r="SL324" s="100"/>
      <c r="SM324" s="100"/>
      <c r="SN324" s="100"/>
      <c r="SO324" s="100"/>
      <c r="SP324" s="100"/>
      <c r="SQ324" s="100"/>
      <c r="SR324" s="100"/>
      <c r="SS324" s="100"/>
      <c r="ST324" s="100"/>
      <c r="SU324" s="100"/>
      <c r="SV324" s="100"/>
      <c r="SW324" s="100"/>
      <c r="SX324" s="100"/>
      <c r="SY324" s="100"/>
      <c r="SZ324" s="100"/>
      <c r="TA324" s="100"/>
      <c r="TB324" s="100"/>
      <c r="TC324" s="100"/>
      <c r="TD324" s="100"/>
      <c r="TE324" s="100"/>
      <c r="TF324" s="100"/>
      <c r="TG324" s="100"/>
      <c r="TH324" s="100"/>
      <c r="TI324" s="100"/>
      <c r="TJ324" s="100"/>
      <c r="TK324" s="100"/>
      <c r="TL324" s="100"/>
      <c r="TM324" s="100"/>
      <c r="TN324" s="100"/>
      <c r="TO324" s="100"/>
      <c r="TP324" s="100"/>
      <c r="TQ324" s="100"/>
      <c r="TR324" s="100"/>
      <c r="TS324" s="100"/>
      <c r="TT324" s="100"/>
      <c r="TU324" s="100"/>
      <c r="TV324" s="100"/>
      <c r="TW324" s="100"/>
      <c r="TX324" s="100"/>
      <c r="TY324" s="100"/>
      <c r="TZ324" s="100"/>
      <c r="UA324" s="100"/>
      <c r="UB324" s="100"/>
      <c r="UC324" s="100"/>
      <c r="UD324" s="100"/>
      <c r="UE324" s="100"/>
      <c r="UF324" s="100"/>
      <c r="UG324" s="100"/>
      <c r="UH324" s="100"/>
      <c r="UI324" s="100"/>
      <c r="UJ324" s="100"/>
      <c r="UK324" s="100"/>
      <c r="UL324" s="100"/>
      <c r="UM324" s="100"/>
      <c r="UN324" s="100"/>
      <c r="UO324" s="100"/>
      <c r="UP324" s="100"/>
      <c r="UQ324" s="100"/>
      <c r="UR324" s="100"/>
      <c r="US324" s="100"/>
      <c r="UT324" s="100"/>
      <c r="UU324" s="100"/>
      <c r="UV324" s="100"/>
      <c r="UW324" s="100"/>
      <c r="UX324" s="100"/>
      <c r="UY324" s="100"/>
      <c r="UZ324" s="100"/>
      <c r="VA324" s="100"/>
      <c r="VB324" s="100"/>
      <c r="VC324" s="100"/>
      <c r="VD324" s="100"/>
      <c r="VE324" s="100"/>
      <c r="VF324" s="100"/>
      <c r="VG324" s="100"/>
      <c r="VH324" s="100"/>
      <c r="VI324" s="100"/>
      <c r="VJ324" s="100"/>
      <c r="VK324" s="100"/>
      <c r="VL324" s="100"/>
      <c r="VM324" s="100"/>
      <c r="VN324" s="100"/>
      <c r="VO324" s="100"/>
      <c r="VP324" s="100"/>
      <c r="VQ324" s="100"/>
      <c r="VR324" s="100"/>
      <c r="VS324" s="100"/>
      <c r="VT324" s="100"/>
      <c r="VU324" s="100"/>
      <c r="VV324" s="100"/>
      <c r="VW324" s="100"/>
      <c r="VX324" s="100"/>
      <c r="VY324" s="100"/>
      <c r="VZ324" s="100"/>
      <c r="WA324" s="100"/>
      <c r="WB324" s="100"/>
      <c r="WC324" s="100"/>
      <c r="WD324" s="100"/>
      <c r="WE324" s="100"/>
      <c r="WF324" s="100"/>
      <c r="WG324" s="100"/>
      <c r="WH324" s="100"/>
      <c r="WI324" s="100"/>
      <c r="WJ324" s="100"/>
      <c r="WK324" s="100"/>
      <c r="WL324" s="100"/>
      <c r="WM324" s="100"/>
      <c r="WN324" s="100"/>
      <c r="WO324" s="100"/>
      <c r="WP324" s="100"/>
      <c r="WQ324" s="100"/>
      <c r="WR324" s="100"/>
      <c r="WS324" s="100"/>
      <c r="WT324" s="100"/>
      <c r="WU324" s="100"/>
      <c r="WV324" s="100"/>
      <c r="WW324" s="100"/>
      <c r="WX324" s="100"/>
      <c r="WY324" s="100"/>
      <c r="WZ324" s="100"/>
      <c r="XA324" s="100"/>
      <c r="XB324" s="100"/>
      <c r="XC324" s="100"/>
      <c r="XD324" s="100"/>
      <c r="XE324" s="100"/>
      <c r="XF324" s="100"/>
      <c r="XG324" s="100"/>
      <c r="XH324" s="100"/>
      <c r="XI324" s="100"/>
      <c r="XJ324" s="100"/>
      <c r="XK324" s="100"/>
      <c r="XL324" s="100"/>
      <c r="XM324" s="100"/>
      <c r="XN324" s="100"/>
      <c r="XO324" s="100"/>
      <c r="XP324" s="100"/>
      <c r="XQ324" s="100"/>
      <c r="XR324" s="100"/>
      <c r="XS324" s="100"/>
      <c r="XT324" s="100"/>
      <c r="XU324" s="100"/>
      <c r="XV324" s="100"/>
      <c r="XW324" s="100"/>
      <c r="XX324" s="100"/>
      <c r="XY324" s="100"/>
      <c r="XZ324" s="100"/>
      <c r="YA324" s="100"/>
      <c r="YB324" s="100"/>
      <c r="YC324" s="100"/>
      <c r="YD324" s="100"/>
      <c r="YE324" s="100"/>
      <c r="YF324" s="100"/>
      <c r="YG324" s="100"/>
      <c r="YH324" s="100"/>
      <c r="YI324" s="100"/>
      <c r="YJ324" s="100"/>
      <c r="YK324" s="100"/>
      <c r="YL324" s="100"/>
      <c r="YM324" s="100"/>
      <c r="YN324" s="100"/>
      <c r="YO324" s="100"/>
      <c r="YP324" s="100"/>
      <c r="YQ324" s="100"/>
      <c r="YR324" s="100"/>
      <c r="YS324" s="100"/>
      <c r="YT324" s="100"/>
      <c r="YU324" s="100"/>
      <c r="YV324" s="100"/>
      <c r="YW324" s="100"/>
      <c r="YX324" s="100"/>
      <c r="YY324" s="100"/>
      <c r="YZ324" s="100"/>
      <c r="ZA324" s="100"/>
      <c r="ZB324" s="100"/>
      <c r="ZC324" s="100"/>
      <c r="ZD324" s="100"/>
      <c r="ZE324" s="100"/>
      <c r="ZF324" s="100"/>
      <c r="ZG324" s="100"/>
      <c r="ZH324" s="100"/>
      <c r="ZI324" s="100"/>
      <c r="ZJ324" s="100"/>
      <c r="ZK324" s="100"/>
      <c r="ZL324" s="100"/>
      <c r="ZM324" s="100"/>
      <c r="ZN324" s="100"/>
      <c r="ZO324" s="100"/>
      <c r="ZP324" s="100"/>
      <c r="ZQ324" s="100"/>
      <c r="ZR324" s="100"/>
      <c r="ZS324" s="100"/>
      <c r="ZT324" s="100"/>
      <c r="ZU324" s="100"/>
      <c r="ZV324" s="100"/>
      <c r="ZW324" s="100"/>
      <c r="ZX324" s="100"/>
      <c r="ZY324" s="100"/>
      <c r="ZZ324" s="100"/>
      <c r="AAA324" s="100"/>
      <c r="AAB324" s="100"/>
      <c r="AAC324" s="100"/>
      <c r="AAD324" s="100"/>
      <c r="AAE324" s="100"/>
      <c r="AAF324" s="100"/>
      <c r="AAG324" s="100"/>
      <c r="AAH324" s="100"/>
      <c r="AAI324" s="100"/>
      <c r="AAJ324" s="100"/>
      <c r="AAK324" s="100"/>
      <c r="AAL324" s="100"/>
      <c r="AAM324" s="100"/>
      <c r="AAN324" s="100"/>
      <c r="AAO324" s="100"/>
      <c r="AAP324" s="100"/>
      <c r="AAQ324" s="100"/>
      <c r="AAR324" s="100"/>
      <c r="AAS324" s="100"/>
      <c r="AAT324" s="100"/>
      <c r="AAU324" s="100"/>
      <c r="AAV324" s="100"/>
      <c r="AAW324" s="100"/>
      <c r="AAX324" s="100"/>
      <c r="AAY324" s="100"/>
      <c r="AAZ324" s="100"/>
      <c r="ABA324" s="100"/>
      <c r="ABB324" s="100"/>
      <c r="ABC324" s="100"/>
      <c r="ABD324" s="100"/>
      <c r="ABE324" s="100"/>
      <c r="ABF324" s="100"/>
      <c r="ABG324" s="100"/>
      <c r="ABH324" s="100"/>
      <c r="ABI324" s="100"/>
      <c r="ABJ324" s="100"/>
      <c r="ABK324" s="100"/>
      <c r="ABL324" s="100"/>
      <c r="ABM324" s="100"/>
      <c r="ABN324" s="100"/>
      <c r="ABO324" s="100"/>
      <c r="ABP324" s="100"/>
      <c r="ABQ324" s="100"/>
      <c r="ABR324" s="100"/>
      <c r="ABS324" s="100"/>
      <c r="ABT324" s="100"/>
      <c r="ABU324" s="100"/>
      <c r="ABV324" s="100"/>
      <c r="ABW324" s="100"/>
      <c r="ABX324" s="100"/>
      <c r="ABY324" s="100"/>
      <c r="ABZ324" s="100"/>
      <c r="ACA324" s="100"/>
      <c r="ACB324" s="100"/>
      <c r="ACC324" s="100"/>
      <c r="ACD324" s="100"/>
      <c r="ACE324" s="100"/>
      <c r="ACF324" s="100"/>
      <c r="ACG324" s="100"/>
      <c r="ACH324" s="100"/>
      <c r="ACI324" s="100"/>
      <c r="ACJ324" s="100"/>
      <c r="ACK324" s="100"/>
      <c r="ACL324" s="100"/>
      <c r="ACM324" s="100"/>
      <c r="ACN324" s="100"/>
      <c r="ACO324" s="100"/>
      <c r="ACP324" s="100"/>
      <c r="ACQ324" s="100"/>
      <c r="ACR324" s="100"/>
      <c r="ACS324" s="100"/>
      <c r="ACT324" s="100"/>
      <c r="ACU324" s="100"/>
      <c r="ACV324" s="100"/>
      <c r="ACW324" s="100"/>
      <c r="ACX324" s="100"/>
      <c r="ACY324" s="100"/>
      <c r="ACZ324" s="100"/>
      <c r="ADA324" s="100"/>
      <c r="ADB324" s="100"/>
      <c r="ADC324" s="100"/>
      <c r="ADD324" s="100"/>
      <c r="ADE324" s="100"/>
      <c r="ADF324" s="100"/>
      <c r="ADG324" s="100"/>
      <c r="ADH324" s="100"/>
      <c r="ADI324" s="100"/>
      <c r="ADJ324" s="100"/>
      <c r="ADK324" s="100"/>
      <c r="ADL324" s="100"/>
      <c r="ADM324" s="100"/>
      <c r="ADN324" s="100"/>
      <c r="ADO324" s="100"/>
      <c r="ADP324" s="100"/>
      <c r="ADQ324" s="100"/>
      <c r="ADR324" s="100"/>
      <c r="ADS324" s="100"/>
      <c r="ADT324" s="100"/>
      <c r="ADU324" s="100"/>
      <c r="ADV324" s="100"/>
      <c r="ADW324" s="100"/>
      <c r="ADX324" s="100"/>
      <c r="ADY324" s="100"/>
      <c r="ADZ324" s="100"/>
      <c r="AEA324" s="100"/>
      <c r="AEB324" s="100"/>
      <c r="AEC324" s="100"/>
      <c r="AED324" s="100"/>
      <c r="AEE324" s="100"/>
      <c r="AEF324" s="100"/>
      <c r="AEG324" s="100"/>
      <c r="AEH324" s="100"/>
      <c r="AEI324" s="100"/>
      <c r="AEJ324" s="100"/>
      <c r="AEK324" s="100"/>
      <c r="AEL324" s="100"/>
      <c r="AEM324" s="100"/>
      <c r="AEN324" s="100"/>
      <c r="AEO324" s="100"/>
      <c r="AEP324" s="100"/>
      <c r="AEQ324" s="100"/>
      <c r="AER324" s="100"/>
      <c r="AES324" s="100"/>
      <c r="AET324" s="100"/>
      <c r="AEU324" s="100"/>
      <c r="AEV324" s="100"/>
      <c r="AEW324" s="100"/>
      <c r="AEX324" s="100"/>
      <c r="AEY324" s="100"/>
      <c r="AEZ324" s="100"/>
      <c r="AFA324" s="100"/>
      <c r="AFB324" s="100"/>
      <c r="AFC324" s="100"/>
      <c r="AFD324" s="100"/>
      <c r="AFE324" s="100"/>
      <c r="AFF324" s="100"/>
      <c r="AFG324" s="100"/>
      <c r="AFH324" s="100"/>
      <c r="AFI324" s="100"/>
      <c r="AFJ324" s="100"/>
      <c r="AFK324" s="100"/>
      <c r="AFL324" s="100"/>
      <c r="AFM324" s="100"/>
      <c r="AFN324" s="100"/>
      <c r="AFO324" s="100"/>
      <c r="AFP324" s="100"/>
      <c r="AFQ324" s="100"/>
      <c r="AFR324" s="100"/>
      <c r="AFS324" s="100"/>
      <c r="AFT324" s="100"/>
      <c r="AFU324" s="100"/>
      <c r="AFV324" s="100"/>
      <c r="AFW324" s="100"/>
      <c r="AFX324" s="100"/>
      <c r="AFY324" s="100"/>
      <c r="AFZ324" s="100"/>
      <c r="AGA324" s="100"/>
      <c r="AGB324" s="100"/>
      <c r="AGC324" s="100"/>
      <c r="AGD324" s="100"/>
      <c r="AGE324" s="100"/>
      <c r="AGF324" s="100"/>
      <c r="AGG324" s="100"/>
      <c r="AGH324" s="100"/>
      <c r="AGI324" s="100"/>
      <c r="AGJ324" s="100"/>
      <c r="AGK324" s="100"/>
      <c r="AGL324" s="100"/>
      <c r="AGM324" s="100"/>
      <c r="AGN324" s="100"/>
      <c r="AGO324" s="100"/>
      <c r="AGP324" s="100"/>
      <c r="AGQ324" s="100"/>
      <c r="AGR324" s="100"/>
      <c r="AGS324" s="100"/>
      <c r="AGT324" s="100"/>
      <c r="AGU324" s="100"/>
      <c r="AGV324" s="100"/>
      <c r="AGW324" s="100"/>
      <c r="AGX324" s="100"/>
      <c r="AGY324" s="100"/>
      <c r="AGZ324" s="100"/>
      <c r="AHA324" s="100"/>
      <c r="AHB324" s="100"/>
      <c r="AHC324" s="100"/>
      <c r="AHD324" s="100"/>
      <c r="AHE324" s="100"/>
      <c r="AHF324" s="100"/>
      <c r="AHG324" s="100"/>
      <c r="AHH324" s="100"/>
      <c r="AHI324" s="100"/>
      <c r="AHJ324" s="100"/>
      <c r="AHK324" s="100"/>
      <c r="AHL324" s="100"/>
      <c r="AHM324" s="100"/>
      <c r="AHN324" s="100"/>
      <c r="AHO324" s="100"/>
      <c r="AHP324" s="100"/>
      <c r="AHQ324" s="100"/>
      <c r="AHR324" s="100"/>
      <c r="AHS324" s="100"/>
      <c r="AHT324" s="100"/>
      <c r="AHU324" s="100"/>
      <c r="AHV324" s="100"/>
      <c r="AHW324" s="100"/>
      <c r="AHX324" s="100"/>
      <c r="AHY324" s="100"/>
      <c r="AHZ324" s="100"/>
      <c r="AIA324" s="100"/>
      <c r="AIB324" s="100"/>
      <c r="AIC324" s="100"/>
      <c r="AID324" s="100"/>
      <c r="AIE324" s="100"/>
      <c r="AIF324" s="100"/>
      <c r="AIG324" s="100"/>
      <c r="AIH324" s="100"/>
      <c r="AII324" s="100"/>
      <c r="AIJ324" s="100"/>
      <c r="AIK324" s="100"/>
      <c r="AIL324" s="100"/>
      <c r="AIM324" s="100"/>
      <c r="AIN324" s="100"/>
      <c r="AIO324" s="100"/>
      <c r="AIP324" s="100"/>
      <c r="AIQ324" s="100"/>
      <c r="AIR324" s="100"/>
      <c r="AIS324" s="100"/>
      <c r="AIT324" s="100"/>
      <c r="AIU324" s="100"/>
      <c r="AIV324" s="100"/>
      <c r="AIW324" s="100"/>
      <c r="AIX324" s="100"/>
      <c r="AIY324" s="100"/>
      <c r="AIZ324" s="100"/>
      <c r="AJA324" s="100"/>
      <c r="AJB324" s="100"/>
      <c r="AJC324" s="100"/>
      <c r="AJD324" s="100"/>
      <c r="AJE324" s="100"/>
      <c r="AJF324" s="100"/>
      <c r="AJG324" s="100"/>
      <c r="AJH324" s="100"/>
      <c r="AJI324" s="100"/>
      <c r="AJJ324" s="100"/>
      <c r="AJK324" s="100"/>
      <c r="AJL324" s="100"/>
      <c r="AJM324" s="100"/>
      <c r="AJN324" s="100"/>
      <c r="AJO324" s="100"/>
      <c r="AJP324" s="100"/>
      <c r="AJQ324" s="100"/>
      <c r="AJR324" s="100"/>
      <c r="AJS324" s="100"/>
      <c r="AJT324" s="100"/>
      <c r="AJU324" s="100"/>
      <c r="AJV324" s="100"/>
      <c r="AJW324" s="100"/>
      <c r="AJX324" s="100"/>
      <c r="AJY324" s="100"/>
      <c r="AJZ324" s="100"/>
      <c r="AKA324" s="100"/>
      <c r="AKB324" s="100"/>
      <c r="AKC324" s="100"/>
      <c r="AKD324" s="100"/>
      <c r="AKE324" s="100"/>
      <c r="AKF324" s="100"/>
      <c r="AKG324" s="100"/>
      <c r="AKH324" s="100"/>
      <c r="AKI324" s="100"/>
      <c r="AKJ324" s="100"/>
      <c r="AKK324" s="100"/>
      <c r="AKL324" s="100"/>
      <c r="AKM324" s="100"/>
      <c r="AKN324" s="100"/>
      <c r="AKO324" s="100"/>
      <c r="AKP324" s="100"/>
      <c r="AKQ324" s="100"/>
      <c r="AKR324" s="100"/>
      <c r="AKS324" s="100"/>
      <c r="AKT324" s="100"/>
      <c r="AKU324" s="100"/>
      <c r="AKV324" s="100"/>
      <c r="AKW324" s="100"/>
      <c r="AKX324" s="100"/>
      <c r="AKY324" s="100"/>
      <c r="AKZ324" s="100"/>
      <c r="ALA324" s="100"/>
      <c r="ALB324" s="100"/>
      <c r="ALC324" s="100"/>
      <c r="ALD324" s="100"/>
      <c r="ALE324" s="100"/>
      <c r="ALF324" s="100"/>
      <c r="ALG324" s="100"/>
      <c r="ALH324" s="100"/>
      <c r="ALI324" s="100"/>
      <c r="ALJ324" s="100"/>
      <c r="ALK324" s="100"/>
      <c r="ALL324" s="100"/>
      <c r="ALM324" s="100"/>
      <c r="ALN324" s="100"/>
      <c r="ALO324" s="100"/>
      <c r="ALP324" s="100"/>
      <c r="ALQ324" s="100"/>
      <c r="ALR324" s="100"/>
      <c r="ALS324" s="100"/>
      <c r="ALT324" s="100"/>
      <c r="ALU324" s="100"/>
      <c r="ALV324" s="100"/>
      <c r="ALW324" s="100"/>
      <c r="ALX324" s="100"/>
      <c r="ALY324" s="100"/>
      <c r="ALZ324" s="100"/>
      <c r="AMA324" s="100"/>
      <c r="AMB324" s="100"/>
      <c r="AMC324" s="100"/>
      <c r="AMD324" s="100"/>
    </row>
    <row r="325" spans="1:1018" s="127" customFormat="1" ht="11.25" customHeight="1" x14ac:dyDescent="0.15">
      <c r="A325" s="128" t="s">
        <v>436</v>
      </c>
      <c r="B325" s="126">
        <v>1</v>
      </c>
      <c r="C325" s="114">
        <v>318</v>
      </c>
      <c r="D325" s="115" t="s">
        <v>461</v>
      </c>
      <c r="E325" s="171">
        <v>243</v>
      </c>
      <c r="F325" s="113">
        <f>ROUND(E325*Valores!$C$2,2)</f>
        <v>23766.86</v>
      </c>
      <c r="G325" s="169">
        <v>0</v>
      </c>
      <c r="H325" s="113">
        <f>ROUND(G325*Valores!$C$2,2)</f>
        <v>0</v>
      </c>
      <c r="I325" s="169">
        <v>0</v>
      </c>
      <c r="J325" s="113">
        <f>ROUND(I325*Valores!$C$2,2)</f>
        <v>0</v>
      </c>
      <c r="K325" s="169">
        <v>0</v>
      </c>
      <c r="L325" s="113">
        <f>ROUND(K325*Valores!$C$2,2)</f>
        <v>0</v>
      </c>
      <c r="M325" s="113">
        <f>ROUND(IF($H$2=0,IF(AND(A325&lt;&gt;"13-930",A325&lt;&gt;"13-940"),(SUM(F325,L325,W325,S325,Q325)*Valores!$C$4),0),0),2)</f>
        <v>0</v>
      </c>
      <c r="N325" s="113">
        <f t="shared" si="54"/>
        <v>0</v>
      </c>
      <c r="O325" s="113">
        <f>Valores!C$63*B325</f>
        <v>6846.24</v>
      </c>
      <c r="P325" s="113">
        <v>0</v>
      </c>
      <c r="Q325" s="113">
        <f>IF($F$4="NO",Valores!$C$29,Valores!$C$29/2)</f>
        <v>2597.48</v>
      </c>
      <c r="R325" s="113">
        <v>0</v>
      </c>
      <c r="S325" s="113">
        <f t="shared" si="55"/>
        <v>0</v>
      </c>
      <c r="T325" s="113">
        <v>0</v>
      </c>
      <c r="U325" s="113">
        <v>0</v>
      </c>
      <c r="V325" s="169">
        <v>0</v>
      </c>
      <c r="W325" s="113">
        <f>ROUND(V325*Valores!$C$2,2)</f>
        <v>0</v>
      </c>
      <c r="X325" s="113">
        <v>0</v>
      </c>
      <c r="Y325" s="188">
        <v>0</v>
      </c>
      <c r="Z325" s="113">
        <v>0</v>
      </c>
      <c r="AA325" s="169">
        <v>0</v>
      </c>
      <c r="AB325" s="113">
        <f>ROUND(AA325*Valores!$C$2,2)</f>
        <v>0</v>
      </c>
      <c r="AC325" s="113">
        <f>ROUND(IF($F$4="NO",Valores!$C$34*B325,Valores!$C$34*B325/2),2)</f>
        <v>2353.7600000000002</v>
      </c>
      <c r="AD325" s="113">
        <f>SUM(F325,H325,J325,L325,M325,N325,O325,P325,Q325,S325,T325,U325,W325,X325,Z325,AB325,AC325)*Valores!$C$58</f>
        <v>3556.4340000000007</v>
      </c>
      <c r="AE325" s="113">
        <f t="shared" si="49"/>
        <v>39120.774000000005</v>
      </c>
      <c r="AF325" s="113">
        <f>Valores!$C$14</f>
        <v>4857.07</v>
      </c>
      <c r="AG325" s="113">
        <f>AE325*Valores!$C$60*Valores!$C$61</f>
        <v>0</v>
      </c>
      <c r="AH325" s="113">
        <f t="shared" si="45"/>
        <v>4857.07</v>
      </c>
      <c r="AI325" s="113">
        <f>AE325*Valores!$C$39</f>
        <v>-4303.2851400000009</v>
      </c>
      <c r="AJ325" s="113">
        <f>IF(AE325&lt;Valores!$E$40,-0.02,IF(AE325&lt;Valores!$F$40,-0.03,-0.04))*AE325</f>
        <v>-782.41548000000012</v>
      </c>
      <c r="AK325" s="113">
        <f>AE325*Valores!$C$42</f>
        <v>-2151.6425700000004</v>
      </c>
      <c r="AL325" s="113">
        <v>0</v>
      </c>
      <c r="AM325" s="113">
        <v>0</v>
      </c>
      <c r="AN325" s="113">
        <f t="shared" si="50"/>
        <v>36740.500810000005</v>
      </c>
      <c r="AO325" s="113">
        <f t="shared" si="44"/>
        <v>-4303.2851400000009</v>
      </c>
      <c r="AP325" s="113">
        <f t="shared" si="51"/>
        <v>-782.41548000000012</v>
      </c>
      <c r="AQ325" s="113">
        <f>AE325*Valores!$C$43</f>
        <v>-1056.2608980000002</v>
      </c>
      <c r="AR325" s="113">
        <f>AE325*Valores!$C$44</f>
        <v>-117.36232200000002</v>
      </c>
      <c r="AS325" s="113">
        <f t="shared" si="46"/>
        <v>37718.52016</v>
      </c>
      <c r="AT325" s="113">
        <f>AE325*Valores!$C$46</f>
        <v>6259.3238400000009</v>
      </c>
      <c r="AU325" s="113">
        <f>AE325*Valores!$C$47</f>
        <v>2738.4541800000006</v>
      </c>
      <c r="AV325" s="113">
        <f>AE325*Valores!$C$48</f>
        <v>391.20774000000006</v>
      </c>
      <c r="AW325" s="113">
        <f>AE325*Valores!$C$50</f>
        <v>1369.2270900000003</v>
      </c>
      <c r="AX325" s="113">
        <f>AE325*Valores!$C$52</f>
        <v>2112.5217960000004</v>
      </c>
      <c r="AY325" s="113">
        <f>AE325*Valores!$C$51</f>
        <v>234.72464400000004</v>
      </c>
      <c r="AZ325" s="114"/>
      <c r="BA325" s="114"/>
      <c r="BB325" s="111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  <c r="EO325" s="100"/>
      <c r="EP325" s="100"/>
      <c r="EQ325" s="100"/>
      <c r="ER325" s="100"/>
      <c r="ES325" s="100"/>
      <c r="ET325" s="100"/>
      <c r="EU325" s="100"/>
      <c r="EV325" s="100"/>
      <c r="EW325" s="100"/>
      <c r="EX325" s="100"/>
      <c r="EY325" s="100"/>
      <c r="EZ325" s="100"/>
      <c r="FA325" s="100"/>
      <c r="FB325" s="100"/>
      <c r="FC325" s="100"/>
      <c r="FD325" s="100"/>
      <c r="FE325" s="100"/>
      <c r="FF325" s="100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0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0"/>
      <c r="GC325" s="100"/>
      <c r="GD325" s="100"/>
      <c r="GE325" s="100"/>
      <c r="GF325" s="100"/>
      <c r="GG325" s="100"/>
      <c r="GH325" s="100"/>
      <c r="GI325" s="100"/>
      <c r="GJ325" s="100"/>
      <c r="GK325" s="100"/>
      <c r="GL325" s="100"/>
      <c r="GM325" s="100"/>
      <c r="GN325" s="100"/>
      <c r="GO325" s="100"/>
      <c r="GP325" s="100"/>
      <c r="GQ325" s="100"/>
      <c r="GR325" s="100"/>
      <c r="GS325" s="100"/>
      <c r="GT325" s="100"/>
      <c r="GU325" s="100"/>
      <c r="GV325" s="100"/>
      <c r="GW325" s="100"/>
      <c r="GX325" s="100"/>
      <c r="GY325" s="100"/>
      <c r="GZ325" s="100"/>
      <c r="HA325" s="100"/>
      <c r="HB325" s="100"/>
      <c r="HC325" s="100"/>
      <c r="HD325" s="100"/>
      <c r="HE325" s="100"/>
      <c r="HF325" s="100"/>
      <c r="HG325" s="100"/>
      <c r="HH325" s="100"/>
      <c r="HI325" s="100"/>
      <c r="HJ325" s="100"/>
      <c r="HK325" s="100"/>
      <c r="HL325" s="100"/>
      <c r="HM325" s="100"/>
      <c r="HN325" s="100"/>
      <c r="HO325" s="100"/>
      <c r="HP325" s="100"/>
      <c r="HQ325" s="100"/>
      <c r="HR325" s="100"/>
      <c r="HS325" s="100"/>
      <c r="HT325" s="100"/>
      <c r="HU325" s="100"/>
      <c r="HV325" s="100"/>
      <c r="HW325" s="100"/>
      <c r="HX325" s="100"/>
      <c r="HY325" s="100"/>
      <c r="HZ325" s="100"/>
      <c r="IA325" s="100"/>
      <c r="IB325" s="100"/>
      <c r="IC325" s="100"/>
      <c r="ID325" s="100"/>
      <c r="IE325" s="100"/>
      <c r="IF325" s="100"/>
      <c r="IG325" s="100"/>
      <c r="IH325" s="100"/>
      <c r="II325" s="100"/>
      <c r="IJ325" s="100"/>
      <c r="IK325" s="100"/>
      <c r="IL325" s="100"/>
      <c r="IM325" s="100"/>
      <c r="IN325" s="100"/>
      <c r="IO325" s="100"/>
      <c r="IP325" s="100"/>
      <c r="IQ325" s="100"/>
      <c r="IR325" s="100"/>
      <c r="IS325" s="100"/>
      <c r="IT325" s="100"/>
      <c r="IU325" s="100"/>
      <c r="IV325" s="100"/>
      <c r="IW325" s="100"/>
      <c r="IX325" s="100"/>
      <c r="IY325" s="100"/>
      <c r="IZ325" s="100"/>
      <c r="JA325" s="100"/>
      <c r="JB325" s="100"/>
      <c r="JC325" s="100"/>
      <c r="JD325" s="100"/>
      <c r="JE325" s="100"/>
      <c r="JF325" s="100"/>
      <c r="JG325" s="100"/>
      <c r="JH325" s="100"/>
      <c r="JI325" s="100"/>
      <c r="JJ325" s="100"/>
      <c r="JK325" s="100"/>
      <c r="JL325" s="100"/>
      <c r="JM325" s="100"/>
      <c r="JN325" s="100"/>
      <c r="JO325" s="100"/>
      <c r="JP325" s="100"/>
      <c r="JQ325" s="100"/>
      <c r="JR325" s="100"/>
      <c r="JS325" s="100"/>
      <c r="JT325" s="100"/>
      <c r="JU325" s="100"/>
      <c r="JV325" s="100"/>
      <c r="JW325" s="100"/>
      <c r="JX325" s="100"/>
      <c r="JY325" s="100"/>
      <c r="JZ325" s="100"/>
      <c r="KA325" s="100"/>
      <c r="KB325" s="100"/>
      <c r="KC325" s="100"/>
      <c r="KD325" s="100"/>
      <c r="KE325" s="100"/>
      <c r="KF325" s="100"/>
      <c r="KG325" s="100"/>
      <c r="KH325" s="100"/>
      <c r="KI325" s="100"/>
      <c r="KJ325" s="100"/>
      <c r="KK325" s="100"/>
      <c r="KL325" s="100"/>
      <c r="KM325" s="100"/>
      <c r="KN325" s="100"/>
      <c r="KO325" s="100"/>
      <c r="KP325" s="100"/>
      <c r="KQ325" s="100"/>
      <c r="KR325" s="100"/>
      <c r="KS325" s="100"/>
      <c r="KT325" s="100"/>
      <c r="KU325" s="100"/>
      <c r="KV325" s="100"/>
      <c r="KW325" s="100"/>
      <c r="KX325" s="100"/>
      <c r="KY325" s="100"/>
      <c r="KZ325" s="100"/>
      <c r="LA325" s="100"/>
      <c r="LB325" s="100"/>
      <c r="LC325" s="100"/>
      <c r="LD325" s="100"/>
      <c r="LE325" s="100"/>
      <c r="LF325" s="100"/>
      <c r="LG325" s="100"/>
      <c r="LH325" s="100"/>
      <c r="LI325" s="100"/>
      <c r="LJ325" s="100"/>
      <c r="LK325" s="100"/>
      <c r="LL325" s="100"/>
      <c r="LM325" s="100"/>
      <c r="LN325" s="100"/>
      <c r="LO325" s="100"/>
      <c r="LP325" s="100"/>
      <c r="LQ325" s="100"/>
      <c r="LR325" s="100"/>
      <c r="LS325" s="100"/>
      <c r="LT325" s="100"/>
      <c r="LU325" s="100"/>
      <c r="LV325" s="100"/>
      <c r="LW325" s="100"/>
      <c r="LX325" s="100"/>
      <c r="LY325" s="100"/>
      <c r="LZ325" s="100"/>
      <c r="MA325" s="100"/>
      <c r="MB325" s="100"/>
      <c r="MC325" s="100"/>
      <c r="MD325" s="100"/>
      <c r="ME325" s="100"/>
      <c r="MF325" s="100"/>
      <c r="MG325" s="100"/>
      <c r="MH325" s="100"/>
      <c r="MI325" s="100"/>
      <c r="MJ325" s="100"/>
      <c r="MK325" s="100"/>
      <c r="ML325" s="100"/>
      <c r="MM325" s="100"/>
      <c r="MN325" s="100"/>
      <c r="MO325" s="100"/>
      <c r="MP325" s="100"/>
      <c r="MQ325" s="100"/>
      <c r="MR325" s="100"/>
      <c r="MS325" s="100"/>
      <c r="MT325" s="100"/>
      <c r="MU325" s="100"/>
      <c r="MV325" s="100"/>
      <c r="MW325" s="100"/>
      <c r="MX325" s="100"/>
      <c r="MY325" s="100"/>
      <c r="MZ325" s="100"/>
      <c r="NA325" s="100"/>
      <c r="NB325" s="100"/>
      <c r="NC325" s="100"/>
      <c r="ND325" s="100"/>
      <c r="NE325" s="100"/>
      <c r="NF325" s="100"/>
      <c r="NG325" s="100"/>
      <c r="NH325" s="100"/>
      <c r="NI325" s="100"/>
      <c r="NJ325" s="100"/>
      <c r="NK325" s="100"/>
      <c r="NL325" s="100"/>
      <c r="NM325" s="100"/>
      <c r="NN325" s="100"/>
      <c r="NO325" s="100"/>
      <c r="NP325" s="100"/>
      <c r="NQ325" s="100"/>
      <c r="NR325" s="100"/>
      <c r="NS325" s="100"/>
      <c r="NT325" s="100"/>
      <c r="NU325" s="100"/>
      <c r="NV325" s="100"/>
      <c r="NW325" s="100"/>
      <c r="NX325" s="100"/>
      <c r="NY325" s="100"/>
      <c r="NZ325" s="100"/>
      <c r="OA325" s="100"/>
      <c r="OB325" s="100"/>
      <c r="OC325" s="100"/>
      <c r="OD325" s="100"/>
      <c r="OE325" s="100"/>
      <c r="OF325" s="100"/>
      <c r="OG325" s="100"/>
      <c r="OH325" s="100"/>
      <c r="OI325" s="100"/>
      <c r="OJ325" s="100"/>
      <c r="OK325" s="100"/>
      <c r="OL325" s="100"/>
      <c r="OM325" s="100"/>
      <c r="ON325" s="100"/>
      <c r="OO325" s="100"/>
      <c r="OP325" s="100"/>
      <c r="OQ325" s="100"/>
      <c r="OR325" s="100"/>
      <c r="OS325" s="100"/>
      <c r="OT325" s="100"/>
      <c r="OU325" s="100"/>
      <c r="OV325" s="100"/>
      <c r="OW325" s="100"/>
      <c r="OX325" s="100"/>
      <c r="OY325" s="100"/>
      <c r="OZ325" s="100"/>
      <c r="PA325" s="100"/>
      <c r="PB325" s="100"/>
      <c r="PC325" s="100"/>
      <c r="PD325" s="100"/>
      <c r="PE325" s="100"/>
      <c r="PF325" s="100"/>
      <c r="PG325" s="100"/>
      <c r="PH325" s="100"/>
      <c r="PI325" s="100"/>
      <c r="PJ325" s="100"/>
      <c r="PK325" s="100"/>
      <c r="PL325" s="100"/>
      <c r="PM325" s="100"/>
      <c r="PN325" s="100"/>
      <c r="PO325" s="100"/>
      <c r="PP325" s="100"/>
      <c r="PQ325" s="100"/>
      <c r="PR325" s="100"/>
      <c r="PS325" s="100"/>
      <c r="PT325" s="100"/>
      <c r="PU325" s="100"/>
      <c r="PV325" s="100"/>
      <c r="PW325" s="100"/>
      <c r="PX325" s="100"/>
      <c r="PY325" s="100"/>
      <c r="PZ325" s="100"/>
      <c r="QA325" s="100"/>
      <c r="QB325" s="100"/>
      <c r="QC325" s="100"/>
      <c r="QD325" s="100"/>
      <c r="QE325" s="100"/>
      <c r="QF325" s="100"/>
      <c r="QG325" s="100"/>
      <c r="QH325" s="100"/>
      <c r="QI325" s="100"/>
      <c r="QJ325" s="100"/>
      <c r="QK325" s="100"/>
      <c r="QL325" s="100"/>
      <c r="QM325" s="100"/>
      <c r="QN325" s="100"/>
      <c r="QO325" s="100"/>
      <c r="QP325" s="100"/>
      <c r="QQ325" s="100"/>
      <c r="QR325" s="100"/>
      <c r="QS325" s="100"/>
      <c r="QT325" s="100"/>
      <c r="QU325" s="100"/>
      <c r="QV325" s="100"/>
      <c r="QW325" s="100"/>
      <c r="QX325" s="100"/>
      <c r="QY325" s="100"/>
      <c r="QZ325" s="100"/>
      <c r="RA325" s="100"/>
      <c r="RB325" s="100"/>
      <c r="RC325" s="100"/>
      <c r="RD325" s="100"/>
      <c r="RE325" s="100"/>
      <c r="RF325" s="100"/>
      <c r="RG325" s="100"/>
      <c r="RH325" s="100"/>
      <c r="RI325" s="100"/>
      <c r="RJ325" s="100"/>
      <c r="RK325" s="100"/>
      <c r="RL325" s="100"/>
      <c r="RM325" s="100"/>
      <c r="RN325" s="100"/>
      <c r="RO325" s="100"/>
      <c r="RP325" s="100"/>
      <c r="RQ325" s="100"/>
      <c r="RR325" s="100"/>
      <c r="RS325" s="100"/>
      <c r="RT325" s="100"/>
      <c r="RU325" s="100"/>
      <c r="RV325" s="100"/>
      <c r="RW325" s="100"/>
      <c r="RX325" s="100"/>
      <c r="RY325" s="100"/>
      <c r="RZ325" s="100"/>
      <c r="SA325" s="100"/>
      <c r="SB325" s="100"/>
      <c r="SC325" s="100"/>
      <c r="SD325" s="100"/>
      <c r="SE325" s="100"/>
      <c r="SF325" s="100"/>
      <c r="SG325" s="100"/>
      <c r="SH325" s="100"/>
      <c r="SI325" s="100"/>
      <c r="SJ325" s="100"/>
      <c r="SK325" s="100"/>
      <c r="SL325" s="100"/>
      <c r="SM325" s="100"/>
      <c r="SN325" s="100"/>
      <c r="SO325" s="100"/>
      <c r="SP325" s="100"/>
      <c r="SQ325" s="100"/>
      <c r="SR325" s="100"/>
      <c r="SS325" s="100"/>
      <c r="ST325" s="100"/>
      <c r="SU325" s="100"/>
      <c r="SV325" s="100"/>
      <c r="SW325" s="100"/>
      <c r="SX325" s="100"/>
      <c r="SY325" s="100"/>
      <c r="SZ325" s="100"/>
      <c r="TA325" s="100"/>
      <c r="TB325" s="100"/>
      <c r="TC325" s="100"/>
      <c r="TD325" s="100"/>
      <c r="TE325" s="100"/>
      <c r="TF325" s="100"/>
      <c r="TG325" s="100"/>
      <c r="TH325" s="100"/>
      <c r="TI325" s="100"/>
      <c r="TJ325" s="100"/>
      <c r="TK325" s="100"/>
      <c r="TL325" s="100"/>
      <c r="TM325" s="100"/>
      <c r="TN325" s="100"/>
      <c r="TO325" s="100"/>
      <c r="TP325" s="100"/>
      <c r="TQ325" s="100"/>
      <c r="TR325" s="100"/>
      <c r="TS325" s="100"/>
      <c r="TT325" s="100"/>
      <c r="TU325" s="100"/>
      <c r="TV325" s="100"/>
      <c r="TW325" s="100"/>
      <c r="TX325" s="100"/>
      <c r="TY325" s="100"/>
      <c r="TZ325" s="100"/>
      <c r="UA325" s="100"/>
      <c r="UB325" s="100"/>
      <c r="UC325" s="100"/>
      <c r="UD325" s="100"/>
      <c r="UE325" s="100"/>
      <c r="UF325" s="100"/>
      <c r="UG325" s="100"/>
      <c r="UH325" s="100"/>
      <c r="UI325" s="100"/>
      <c r="UJ325" s="100"/>
      <c r="UK325" s="100"/>
      <c r="UL325" s="100"/>
      <c r="UM325" s="100"/>
      <c r="UN325" s="100"/>
      <c r="UO325" s="100"/>
      <c r="UP325" s="100"/>
      <c r="UQ325" s="100"/>
      <c r="UR325" s="100"/>
      <c r="US325" s="100"/>
      <c r="UT325" s="100"/>
      <c r="UU325" s="100"/>
      <c r="UV325" s="100"/>
      <c r="UW325" s="100"/>
      <c r="UX325" s="100"/>
      <c r="UY325" s="100"/>
      <c r="UZ325" s="100"/>
      <c r="VA325" s="100"/>
      <c r="VB325" s="100"/>
      <c r="VC325" s="100"/>
      <c r="VD325" s="100"/>
      <c r="VE325" s="100"/>
      <c r="VF325" s="100"/>
      <c r="VG325" s="100"/>
      <c r="VH325" s="100"/>
      <c r="VI325" s="100"/>
      <c r="VJ325" s="100"/>
      <c r="VK325" s="100"/>
      <c r="VL325" s="100"/>
      <c r="VM325" s="100"/>
      <c r="VN325" s="100"/>
      <c r="VO325" s="100"/>
      <c r="VP325" s="100"/>
      <c r="VQ325" s="100"/>
      <c r="VR325" s="100"/>
      <c r="VS325" s="100"/>
      <c r="VT325" s="100"/>
      <c r="VU325" s="100"/>
      <c r="VV325" s="100"/>
      <c r="VW325" s="100"/>
      <c r="VX325" s="100"/>
      <c r="VY325" s="100"/>
      <c r="VZ325" s="100"/>
      <c r="WA325" s="100"/>
      <c r="WB325" s="100"/>
      <c r="WC325" s="100"/>
      <c r="WD325" s="100"/>
      <c r="WE325" s="100"/>
      <c r="WF325" s="100"/>
      <c r="WG325" s="100"/>
      <c r="WH325" s="100"/>
      <c r="WI325" s="100"/>
      <c r="WJ325" s="100"/>
      <c r="WK325" s="100"/>
      <c r="WL325" s="100"/>
      <c r="WM325" s="100"/>
      <c r="WN325" s="100"/>
      <c r="WO325" s="100"/>
      <c r="WP325" s="100"/>
      <c r="WQ325" s="100"/>
      <c r="WR325" s="100"/>
      <c r="WS325" s="100"/>
      <c r="WT325" s="100"/>
      <c r="WU325" s="100"/>
      <c r="WV325" s="100"/>
      <c r="WW325" s="100"/>
      <c r="WX325" s="100"/>
      <c r="WY325" s="100"/>
      <c r="WZ325" s="100"/>
      <c r="XA325" s="100"/>
      <c r="XB325" s="100"/>
      <c r="XC325" s="100"/>
      <c r="XD325" s="100"/>
      <c r="XE325" s="100"/>
      <c r="XF325" s="100"/>
      <c r="XG325" s="100"/>
      <c r="XH325" s="100"/>
      <c r="XI325" s="100"/>
      <c r="XJ325" s="100"/>
      <c r="XK325" s="100"/>
      <c r="XL325" s="100"/>
      <c r="XM325" s="100"/>
      <c r="XN325" s="100"/>
      <c r="XO325" s="100"/>
      <c r="XP325" s="100"/>
      <c r="XQ325" s="100"/>
      <c r="XR325" s="100"/>
      <c r="XS325" s="100"/>
      <c r="XT325" s="100"/>
      <c r="XU325" s="100"/>
      <c r="XV325" s="100"/>
      <c r="XW325" s="100"/>
      <c r="XX325" s="100"/>
      <c r="XY325" s="100"/>
      <c r="XZ325" s="100"/>
      <c r="YA325" s="100"/>
      <c r="YB325" s="100"/>
      <c r="YC325" s="100"/>
      <c r="YD325" s="100"/>
      <c r="YE325" s="100"/>
      <c r="YF325" s="100"/>
      <c r="YG325" s="100"/>
      <c r="YH325" s="100"/>
      <c r="YI325" s="100"/>
      <c r="YJ325" s="100"/>
      <c r="YK325" s="100"/>
      <c r="YL325" s="100"/>
      <c r="YM325" s="100"/>
      <c r="YN325" s="100"/>
      <c r="YO325" s="100"/>
      <c r="YP325" s="100"/>
      <c r="YQ325" s="100"/>
      <c r="YR325" s="100"/>
      <c r="YS325" s="100"/>
      <c r="YT325" s="100"/>
      <c r="YU325" s="100"/>
      <c r="YV325" s="100"/>
      <c r="YW325" s="100"/>
      <c r="YX325" s="100"/>
      <c r="YY325" s="100"/>
      <c r="YZ325" s="100"/>
      <c r="ZA325" s="100"/>
      <c r="ZB325" s="100"/>
      <c r="ZC325" s="100"/>
      <c r="ZD325" s="100"/>
      <c r="ZE325" s="100"/>
      <c r="ZF325" s="100"/>
      <c r="ZG325" s="100"/>
      <c r="ZH325" s="100"/>
      <c r="ZI325" s="100"/>
      <c r="ZJ325" s="100"/>
      <c r="ZK325" s="100"/>
      <c r="ZL325" s="100"/>
      <c r="ZM325" s="100"/>
      <c r="ZN325" s="100"/>
      <c r="ZO325" s="100"/>
      <c r="ZP325" s="100"/>
      <c r="ZQ325" s="100"/>
      <c r="ZR325" s="100"/>
      <c r="ZS325" s="100"/>
      <c r="ZT325" s="100"/>
      <c r="ZU325" s="100"/>
      <c r="ZV325" s="100"/>
      <c r="ZW325" s="100"/>
      <c r="ZX325" s="100"/>
      <c r="ZY325" s="100"/>
      <c r="ZZ325" s="100"/>
      <c r="AAA325" s="100"/>
      <c r="AAB325" s="100"/>
      <c r="AAC325" s="100"/>
      <c r="AAD325" s="100"/>
      <c r="AAE325" s="100"/>
      <c r="AAF325" s="100"/>
      <c r="AAG325" s="100"/>
      <c r="AAH325" s="100"/>
      <c r="AAI325" s="100"/>
      <c r="AAJ325" s="100"/>
      <c r="AAK325" s="100"/>
      <c r="AAL325" s="100"/>
      <c r="AAM325" s="100"/>
      <c r="AAN325" s="100"/>
      <c r="AAO325" s="100"/>
      <c r="AAP325" s="100"/>
      <c r="AAQ325" s="100"/>
      <c r="AAR325" s="100"/>
      <c r="AAS325" s="100"/>
      <c r="AAT325" s="100"/>
      <c r="AAU325" s="100"/>
      <c r="AAV325" s="100"/>
      <c r="AAW325" s="100"/>
      <c r="AAX325" s="100"/>
      <c r="AAY325" s="100"/>
      <c r="AAZ325" s="100"/>
      <c r="ABA325" s="100"/>
      <c r="ABB325" s="100"/>
      <c r="ABC325" s="100"/>
      <c r="ABD325" s="100"/>
      <c r="ABE325" s="100"/>
      <c r="ABF325" s="100"/>
      <c r="ABG325" s="100"/>
      <c r="ABH325" s="100"/>
      <c r="ABI325" s="100"/>
      <c r="ABJ325" s="100"/>
      <c r="ABK325" s="100"/>
      <c r="ABL325" s="100"/>
      <c r="ABM325" s="100"/>
      <c r="ABN325" s="100"/>
      <c r="ABO325" s="100"/>
      <c r="ABP325" s="100"/>
      <c r="ABQ325" s="100"/>
      <c r="ABR325" s="100"/>
      <c r="ABS325" s="100"/>
      <c r="ABT325" s="100"/>
      <c r="ABU325" s="100"/>
      <c r="ABV325" s="100"/>
      <c r="ABW325" s="100"/>
      <c r="ABX325" s="100"/>
      <c r="ABY325" s="100"/>
      <c r="ABZ325" s="100"/>
      <c r="ACA325" s="100"/>
      <c r="ACB325" s="100"/>
      <c r="ACC325" s="100"/>
      <c r="ACD325" s="100"/>
      <c r="ACE325" s="100"/>
      <c r="ACF325" s="100"/>
      <c r="ACG325" s="100"/>
      <c r="ACH325" s="100"/>
      <c r="ACI325" s="100"/>
      <c r="ACJ325" s="100"/>
      <c r="ACK325" s="100"/>
      <c r="ACL325" s="100"/>
      <c r="ACM325" s="100"/>
      <c r="ACN325" s="100"/>
      <c r="ACO325" s="100"/>
      <c r="ACP325" s="100"/>
      <c r="ACQ325" s="100"/>
      <c r="ACR325" s="100"/>
      <c r="ACS325" s="100"/>
      <c r="ACT325" s="100"/>
      <c r="ACU325" s="100"/>
      <c r="ACV325" s="100"/>
      <c r="ACW325" s="100"/>
      <c r="ACX325" s="100"/>
      <c r="ACY325" s="100"/>
      <c r="ACZ325" s="100"/>
      <c r="ADA325" s="100"/>
      <c r="ADB325" s="100"/>
      <c r="ADC325" s="100"/>
      <c r="ADD325" s="100"/>
      <c r="ADE325" s="100"/>
      <c r="ADF325" s="100"/>
      <c r="ADG325" s="100"/>
      <c r="ADH325" s="100"/>
      <c r="ADI325" s="100"/>
      <c r="ADJ325" s="100"/>
      <c r="ADK325" s="100"/>
      <c r="ADL325" s="100"/>
      <c r="ADM325" s="100"/>
      <c r="ADN325" s="100"/>
      <c r="ADO325" s="100"/>
      <c r="ADP325" s="100"/>
      <c r="ADQ325" s="100"/>
      <c r="ADR325" s="100"/>
      <c r="ADS325" s="100"/>
      <c r="ADT325" s="100"/>
      <c r="ADU325" s="100"/>
      <c r="ADV325" s="100"/>
      <c r="ADW325" s="100"/>
      <c r="ADX325" s="100"/>
      <c r="ADY325" s="100"/>
      <c r="ADZ325" s="100"/>
      <c r="AEA325" s="100"/>
      <c r="AEB325" s="100"/>
      <c r="AEC325" s="100"/>
      <c r="AED325" s="100"/>
      <c r="AEE325" s="100"/>
      <c r="AEF325" s="100"/>
      <c r="AEG325" s="100"/>
      <c r="AEH325" s="100"/>
      <c r="AEI325" s="100"/>
      <c r="AEJ325" s="100"/>
      <c r="AEK325" s="100"/>
      <c r="AEL325" s="100"/>
      <c r="AEM325" s="100"/>
      <c r="AEN325" s="100"/>
      <c r="AEO325" s="100"/>
      <c r="AEP325" s="100"/>
      <c r="AEQ325" s="100"/>
      <c r="AER325" s="100"/>
      <c r="AES325" s="100"/>
      <c r="AET325" s="100"/>
      <c r="AEU325" s="100"/>
      <c r="AEV325" s="100"/>
      <c r="AEW325" s="100"/>
      <c r="AEX325" s="100"/>
      <c r="AEY325" s="100"/>
      <c r="AEZ325" s="100"/>
      <c r="AFA325" s="100"/>
      <c r="AFB325" s="100"/>
      <c r="AFC325" s="100"/>
      <c r="AFD325" s="100"/>
      <c r="AFE325" s="100"/>
      <c r="AFF325" s="100"/>
      <c r="AFG325" s="100"/>
      <c r="AFH325" s="100"/>
      <c r="AFI325" s="100"/>
      <c r="AFJ325" s="100"/>
      <c r="AFK325" s="100"/>
      <c r="AFL325" s="100"/>
      <c r="AFM325" s="100"/>
      <c r="AFN325" s="100"/>
      <c r="AFO325" s="100"/>
      <c r="AFP325" s="100"/>
      <c r="AFQ325" s="100"/>
      <c r="AFR325" s="100"/>
      <c r="AFS325" s="100"/>
      <c r="AFT325" s="100"/>
      <c r="AFU325" s="100"/>
      <c r="AFV325" s="100"/>
      <c r="AFW325" s="100"/>
      <c r="AFX325" s="100"/>
      <c r="AFY325" s="100"/>
      <c r="AFZ325" s="100"/>
      <c r="AGA325" s="100"/>
      <c r="AGB325" s="100"/>
      <c r="AGC325" s="100"/>
      <c r="AGD325" s="100"/>
      <c r="AGE325" s="100"/>
      <c r="AGF325" s="100"/>
      <c r="AGG325" s="100"/>
      <c r="AGH325" s="100"/>
      <c r="AGI325" s="100"/>
      <c r="AGJ325" s="100"/>
      <c r="AGK325" s="100"/>
      <c r="AGL325" s="100"/>
      <c r="AGM325" s="100"/>
      <c r="AGN325" s="100"/>
      <c r="AGO325" s="100"/>
      <c r="AGP325" s="100"/>
      <c r="AGQ325" s="100"/>
      <c r="AGR325" s="100"/>
      <c r="AGS325" s="100"/>
      <c r="AGT325" s="100"/>
      <c r="AGU325" s="100"/>
      <c r="AGV325" s="100"/>
      <c r="AGW325" s="100"/>
      <c r="AGX325" s="100"/>
      <c r="AGY325" s="100"/>
      <c r="AGZ325" s="100"/>
      <c r="AHA325" s="100"/>
      <c r="AHB325" s="100"/>
      <c r="AHC325" s="100"/>
      <c r="AHD325" s="100"/>
      <c r="AHE325" s="100"/>
      <c r="AHF325" s="100"/>
      <c r="AHG325" s="100"/>
      <c r="AHH325" s="100"/>
      <c r="AHI325" s="100"/>
      <c r="AHJ325" s="100"/>
      <c r="AHK325" s="100"/>
      <c r="AHL325" s="100"/>
      <c r="AHM325" s="100"/>
      <c r="AHN325" s="100"/>
      <c r="AHO325" s="100"/>
      <c r="AHP325" s="100"/>
      <c r="AHQ325" s="100"/>
      <c r="AHR325" s="100"/>
      <c r="AHS325" s="100"/>
      <c r="AHT325" s="100"/>
      <c r="AHU325" s="100"/>
      <c r="AHV325" s="100"/>
      <c r="AHW325" s="100"/>
      <c r="AHX325" s="100"/>
      <c r="AHY325" s="100"/>
      <c r="AHZ325" s="100"/>
      <c r="AIA325" s="100"/>
      <c r="AIB325" s="100"/>
      <c r="AIC325" s="100"/>
      <c r="AID325" s="100"/>
      <c r="AIE325" s="100"/>
      <c r="AIF325" s="100"/>
      <c r="AIG325" s="100"/>
      <c r="AIH325" s="100"/>
      <c r="AII325" s="100"/>
      <c r="AIJ325" s="100"/>
      <c r="AIK325" s="100"/>
      <c r="AIL325" s="100"/>
      <c r="AIM325" s="100"/>
      <c r="AIN325" s="100"/>
      <c r="AIO325" s="100"/>
      <c r="AIP325" s="100"/>
      <c r="AIQ325" s="100"/>
      <c r="AIR325" s="100"/>
      <c r="AIS325" s="100"/>
      <c r="AIT325" s="100"/>
      <c r="AIU325" s="100"/>
      <c r="AIV325" s="100"/>
      <c r="AIW325" s="100"/>
      <c r="AIX325" s="100"/>
      <c r="AIY325" s="100"/>
      <c r="AIZ325" s="100"/>
      <c r="AJA325" s="100"/>
      <c r="AJB325" s="100"/>
      <c r="AJC325" s="100"/>
      <c r="AJD325" s="100"/>
      <c r="AJE325" s="100"/>
      <c r="AJF325" s="100"/>
      <c r="AJG325" s="100"/>
      <c r="AJH325" s="100"/>
      <c r="AJI325" s="100"/>
      <c r="AJJ325" s="100"/>
      <c r="AJK325" s="100"/>
      <c r="AJL325" s="100"/>
      <c r="AJM325" s="100"/>
      <c r="AJN325" s="100"/>
      <c r="AJO325" s="100"/>
      <c r="AJP325" s="100"/>
      <c r="AJQ325" s="100"/>
      <c r="AJR325" s="100"/>
      <c r="AJS325" s="100"/>
      <c r="AJT325" s="100"/>
      <c r="AJU325" s="100"/>
      <c r="AJV325" s="100"/>
      <c r="AJW325" s="100"/>
      <c r="AJX325" s="100"/>
      <c r="AJY325" s="100"/>
      <c r="AJZ325" s="100"/>
      <c r="AKA325" s="100"/>
      <c r="AKB325" s="100"/>
      <c r="AKC325" s="100"/>
      <c r="AKD325" s="100"/>
      <c r="AKE325" s="100"/>
      <c r="AKF325" s="100"/>
      <c r="AKG325" s="100"/>
      <c r="AKH325" s="100"/>
      <c r="AKI325" s="100"/>
      <c r="AKJ325" s="100"/>
      <c r="AKK325" s="100"/>
      <c r="AKL325" s="100"/>
      <c r="AKM325" s="100"/>
      <c r="AKN325" s="100"/>
      <c r="AKO325" s="100"/>
      <c r="AKP325" s="100"/>
      <c r="AKQ325" s="100"/>
      <c r="AKR325" s="100"/>
      <c r="AKS325" s="100"/>
      <c r="AKT325" s="100"/>
      <c r="AKU325" s="100"/>
      <c r="AKV325" s="100"/>
      <c r="AKW325" s="100"/>
      <c r="AKX325" s="100"/>
      <c r="AKY325" s="100"/>
      <c r="AKZ325" s="100"/>
      <c r="ALA325" s="100"/>
      <c r="ALB325" s="100"/>
      <c r="ALC325" s="100"/>
      <c r="ALD325" s="100"/>
      <c r="ALE325" s="100"/>
      <c r="ALF325" s="100"/>
      <c r="ALG325" s="100"/>
      <c r="ALH325" s="100"/>
      <c r="ALI325" s="100"/>
      <c r="ALJ325" s="100"/>
      <c r="ALK325" s="100"/>
      <c r="ALL325" s="100"/>
      <c r="ALM325" s="100"/>
      <c r="ALN325" s="100"/>
      <c r="ALO325" s="100"/>
      <c r="ALP325" s="100"/>
      <c r="ALQ325" s="100"/>
      <c r="ALR325" s="100"/>
      <c r="ALS325" s="100"/>
      <c r="ALT325" s="100"/>
      <c r="ALU325" s="100"/>
      <c r="ALV325" s="100"/>
      <c r="ALW325" s="100"/>
      <c r="ALX325" s="100"/>
      <c r="ALY325" s="100"/>
      <c r="ALZ325" s="100"/>
      <c r="AMA325" s="100"/>
      <c r="AMB325" s="100"/>
      <c r="AMC325" s="100"/>
      <c r="AMD325" s="100"/>
    </row>
    <row r="326" spans="1:1018" s="127" customFormat="1" ht="11.25" customHeight="1" x14ac:dyDescent="0.15">
      <c r="A326" s="128" t="s">
        <v>436</v>
      </c>
      <c r="B326" s="111">
        <v>1</v>
      </c>
      <c r="C326" s="114">
        <v>319</v>
      </c>
      <c r="D326" s="115" t="s">
        <v>462</v>
      </c>
      <c r="E326" s="171">
        <v>235</v>
      </c>
      <c r="F326" s="113">
        <f>ROUND(E326*Valores!$C$2,2)</f>
        <v>22984.41</v>
      </c>
      <c r="G326" s="169">
        <v>0</v>
      </c>
      <c r="H326" s="113">
        <f>ROUND(G326*Valores!$C$2,2)</f>
        <v>0</v>
      </c>
      <c r="I326" s="169">
        <v>0</v>
      </c>
      <c r="J326" s="113">
        <f>ROUND(I326*Valores!$C$2,2)</f>
        <v>0</v>
      </c>
      <c r="K326" s="169">
        <v>0</v>
      </c>
      <c r="L326" s="113">
        <f>ROUND(K326*Valores!$C$2,2)</f>
        <v>0</v>
      </c>
      <c r="M326" s="113">
        <f>ROUND(IF($H$2=0,IF(AND(A326&lt;&gt;"13-930",A326&lt;&gt;"13-940"),(SUM(F326,L326,W326,S326,Q326)*Valores!$C$4),0),0),2)</f>
        <v>0</v>
      </c>
      <c r="N326" s="113">
        <f t="shared" si="54"/>
        <v>0</v>
      </c>
      <c r="O326" s="113">
        <f>Valores!C$63*B326</f>
        <v>6846.24</v>
      </c>
      <c r="P326" s="113">
        <v>0</v>
      </c>
      <c r="Q326" s="113">
        <f>IF($F$4="NO",Valores!$C$29,Valores!$C$29/2)</f>
        <v>2597.48</v>
      </c>
      <c r="R326" s="113">
        <v>0</v>
      </c>
      <c r="S326" s="113">
        <f t="shared" si="55"/>
        <v>0</v>
      </c>
      <c r="T326" s="113">
        <v>0</v>
      </c>
      <c r="U326" s="113">
        <v>0</v>
      </c>
      <c r="V326" s="169">
        <v>0</v>
      </c>
      <c r="W326" s="113">
        <f>ROUND(V326*Valores!$C$2,2)</f>
        <v>0</v>
      </c>
      <c r="X326" s="113">
        <v>0</v>
      </c>
      <c r="Y326" s="188">
        <v>0</v>
      </c>
      <c r="Z326" s="113">
        <v>0</v>
      </c>
      <c r="AA326" s="169">
        <v>0</v>
      </c>
      <c r="AB326" s="113">
        <f>ROUND(AA326*Valores!$C$2,2)</f>
        <v>0</v>
      </c>
      <c r="AC326" s="113">
        <f>ROUND(IF($F$4="NO",Valores!$C$34*B326,Valores!$C$34*B326/2),2)</f>
        <v>2353.7600000000002</v>
      </c>
      <c r="AD326" s="113">
        <f>SUM(F326,H326,J326,L326,M326,N326,O326,P326,Q326,S326,T326,U326,W326,X326,Z326,AB326,AC326)*Valores!$C$58</f>
        <v>3478.1890000000003</v>
      </c>
      <c r="AE326" s="113">
        <f t="shared" si="49"/>
        <v>38260.078999999998</v>
      </c>
      <c r="AF326" s="113">
        <f>Valores!$C$14</f>
        <v>4857.07</v>
      </c>
      <c r="AG326" s="113">
        <f>AE326*Valores!$C$60*Valores!$C$61</f>
        <v>0</v>
      </c>
      <c r="AH326" s="113">
        <f t="shared" si="45"/>
        <v>4857.07</v>
      </c>
      <c r="AI326" s="113">
        <f>AE326*Valores!$C$39</f>
        <v>-4208.60869</v>
      </c>
      <c r="AJ326" s="113">
        <f>IF(AE326&lt;Valores!$E$40,-0.02,IF(AE326&lt;Valores!$F$40,-0.03,-0.04))*AE326</f>
        <v>-765.20157999999992</v>
      </c>
      <c r="AK326" s="113">
        <f>AE326*Valores!$C$42</f>
        <v>-2104.304345</v>
      </c>
      <c r="AL326" s="113">
        <v>0</v>
      </c>
      <c r="AM326" s="113">
        <v>0</v>
      </c>
      <c r="AN326" s="113">
        <f t="shared" si="50"/>
        <v>36039.034384999999</v>
      </c>
      <c r="AO326" s="113">
        <f>AI326</f>
        <v>-4208.60869</v>
      </c>
      <c r="AP326" s="113">
        <f t="shared" si="51"/>
        <v>-765.20157999999992</v>
      </c>
      <c r="AQ326" s="113">
        <f>AE326*Valores!$C$43</f>
        <v>-1033.0221329999999</v>
      </c>
      <c r="AR326" s="113">
        <f>AE326*Valores!$C$44</f>
        <v>-114.780237</v>
      </c>
      <c r="AS326" s="113">
        <f t="shared" si="46"/>
        <v>36995.536359999998</v>
      </c>
      <c r="AT326" s="113">
        <f>AE326*Valores!$C$46</f>
        <v>6121.6126399999994</v>
      </c>
      <c r="AU326" s="113">
        <f>AE326*Valores!$C$47</f>
        <v>2678.2055300000002</v>
      </c>
      <c r="AV326" s="113">
        <f>AE326*Valores!$C$48</f>
        <v>382.60078999999996</v>
      </c>
      <c r="AW326" s="113">
        <f>AE326*Valores!$C$50</f>
        <v>1339.1027650000001</v>
      </c>
      <c r="AX326" s="113">
        <f>AE326*Valores!$C$52</f>
        <v>2066.0442659999999</v>
      </c>
      <c r="AY326" s="113">
        <f>AE326*Valores!$C$51</f>
        <v>229.560474</v>
      </c>
      <c r="AZ326" s="114"/>
      <c r="BA326" s="114"/>
      <c r="BB326" s="111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  <c r="EO326" s="100"/>
      <c r="EP326" s="100"/>
      <c r="EQ326" s="100"/>
      <c r="ER326" s="100"/>
      <c r="ES326" s="100"/>
      <c r="ET326" s="100"/>
      <c r="EU326" s="100"/>
      <c r="EV326" s="100"/>
      <c r="EW326" s="100"/>
      <c r="EX326" s="100"/>
      <c r="EY326" s="100"/>
      <c r="EZ326" s="100"/>
      <c r="FA326" s="100"/>
      <c r="FB326" s="100"/>
      <c r="FC326" s="100"/>
      <c r="FD326" s="100"/>
      <c r="FE326" s="100"/>
      <c r="FF326" s="100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0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0"/>
      <c r="GC326" s="100"/>
      <c r="GD326" s="100"/>
      <c r="GE326" s="100"/>
      <c r="GF326" s="100"/>
      <c r="GG326" s="100"/>
      <c r="GH326" s="100"/>
      <c r="GI326" s="100"/>
      <c r="GJ326" s="100"/>
      <c r="GK326" s="100"/>
      <c r="GL326" s="100"/>
      <c r="GM326" s="100"/>
      <c r="GN326" s="100"/>
      <c r="GO326" s="100"/>
      <c r="GP326" s="100"/>
      <c r="GQ326" s="100"/>
      <c r="GR326" s="100"/>
      <c r="GS326" s="100"/>
      <c r="GT326" s="100"/>
      <c r="GU326" s="100"/>
      <c r="GV326" s="100"/>
      <c r="GW326" s="100"/>
      <c r="GX326" s="100"/>
      <c r="GY326" s="100"/>
      <c r="GZ326" s="100"/>
      <c r="HA326" s="100"/>
      <c r="HB326" s="100"/>
      <c r="HC326" s="100"/>
      <c r="HD326" s="100"/>
      <c r="HE326" s="100"/>
      <c r="HF326" s="100"/>
      <c r="HG326" s="100"/>
      <c r="HH326" s="100"/>
      <c r="HI326" s="100"/>
      <c r="HJ326" s="100"/>
      <c r="HK326" s="100"/>
      <c r="HL326" s="100"/>
      <c r="HM326" s="100"/>
      <c r="HN326" s="100"/>
      <c r="HO326" s="100"/>
      <c r="HP326" s="100"/>
      <c r="HQ326" s="100"/>
      <c r="HR326" s="100"/>
      <c r="HS326" s="100"/>
      <c r="HT326" s="100"/>
      <c r="HU326" s="100"/>
      <c r="HV326" s="100"/>
      <c r="HW326" s="100"/>
      <c r="HX326" s="100"/>
      <c r="HY326" s="100"/>
      <c r="HZ326" s="100"/>
      <c r="IA326" s="100"/>
      <c r="IB326" s="100"/>
      <c r="IC326" s="100"/>
      <c r="ID326" s="100"/>
      <c r="IE326" s="100"/>
      <c r="IF326" s="100"/>
      <c r="IG326" s="100"/>
      <c r="IH326" s="100"/>
      <c r="II326" s="100"/>
      <c r="IJ326" s="100"/>
      <c r="IK326" s="100"/>
      <c r="IL326" s="100"/>
      <c r="IM326" s="100"/>
      <c r="IN326" s="100"/>
      <c r="IO326" s="100"/>
      <c r="IP326" s="100"/>
      <c r="IQ326" s="100"/>
      <c r="IR326" s="100"/>
      <c r="IS326" s="100"/>
      <c r="IT326" s="100"/>
      <c r="IU326" s="100"/>
      <c r="IV326" s="100"/>
      <c r="IW326" s="100"/>
      <c r="IX326" s="100"/>
      <c r="IY326" s="100"/>
      <c r="IZ326" s="100"/>
      <c r="JA326" s="100"/>
      <c r="JB326" s="100"/>
      <c r="JC326" s="100"/>
      <c r="JD326" s="100"/>
      <c r="JE326" s="100"/>
      <c r="JF326" s="100"/>
      <c r="JG326" s="100"/>
      <c r="JH326" s="100"/>
      <c r="JI326" s="100"/>
      <c r="JJ326" s="100"/>
      <c r="JK326" s="100"/>
      <c r="JL326" s="100"/>
      <c r="JM326" s="100"/>
      <c r="JN326" s="100"/>
      <c r="JO326" s="100"/>
      <c r="JP326" s="100"/>
      <c r="JQ326" s="100"/>
      <c r="JR326" s="100"/>
      <c r="JS326" s="100"/>
      <c r="JT326" s="100"/>
      <c r="JU326" s="100"/>
      <c r="JV326" s="100"/>
      <c r="JW326" s="100"/>
      <c r="JX326" s="100"/>
      <c r="JY326" s="100"/>
      <c r="JZ326" s="100"/>
      <c r="KA326" s="100"/>
      <c r="KB326" s="100"/>
      <c r="KC326" s="100"/>
      <c r="KD326" s="100"/>
      <c r="KE326" s="100"/>
      <c r="KF326" s="100"/>
      <c r="KG326" s="100"/>
      <c r="KH326" s="100"/>
      <c r="KI326" s="100"/>
      <c r="KJ326" s="100"/>
      <c r="KK326" s="100"/>
      <c r="KL326" s="100"/>
      <c r="KM326" s="100"/>
      <c r="KN326" s="100"/>
      <c r="KO326" s="100"/>
      <c r="KP326" s="100"/>
      <c r="KQ326" s="100"/>
      <c r="KR326" s="100"/>
      <c r="KS326" s="100"/>
      <c r="KT326" s="100"/>
      <c r="KU326" s="100"/>
      <c r="KV326" s="100"/>
      <c r="KW326" s="100"/>
      <c r="KX326" s="100"/>
      <c r="KY326" s="100"/>
      <c r="KZ326" s="100"/>
      <c r="LA326" s="100"/>
      <c r="LB326" s="100"/>
      <c r="LC326" s="100"/>
      <c r="LD326" s="100"/>
      <c r="LE326" s="100"/>
      <c r="LF326" s="100"/>
      <c r="LG326" s="100"/>
      <c r="LH326" s="100"/>
      <c r="LI326" s="100"/>
      <c r="LJ326" s="100"/>
      <c r="LK326" s="100"/>
      <c r="LL326" s="100"/>
      <c r="LM326" s="100"/>
      <c r="LN326" s="100"/>
      <c r="LO326" s="100"/>
      <c r="LP326" s="100"/>
      <c r="LQ326" s="100"/>
      <c r="LR326" s="100"/>
      <c r="LS326" s="100"/>
      <c r="LT326" s="100"/>
      <c r="LU326" s="100"/>
      <c r="LV326" s="100"/>
      <c r="LW326" s="100"/>
      <c r="LX326" s="100"/>
      <c r="LY326" s="100"/>
      <c r="LZ326" s="100"/>
      <c r="MA326" s="100"/>
      <c r="MB326" s="100"/>
      <c r="MC326" s="100"/>
      <c r="MD326" s="100"/>
      <c r="ME326" s="100"/>
      <c r="MF326" s="100"/>
      <c r="MG326" s="100"/>
      <c r="MH326" s="100"/>
      <c r="MI326" s="100"/>
      <c r="MJ326" s="100"/>
      <c r="MK326" s="100"/>
      <c r="ML326" s="100"/>
      <c r="MM326" s="100"/>
      <c r="MN326" s="100"/>
      <c r="MO326" s="100"/>
      <c r="MP326" s="100"/>
      <c r="MQ326" s="100"/>
      <c r="MR326" s="100"/>
      <c r="MS326" s="100"/>
      <c r="MT326" s="100"/>
      <c r="MU326" s="100"/>
      <c r="MV326" s="100"/>
      <c r="MW326" s="100"/>
      <c r="MX326" s="100"/>
      <c r="MY326" s="100"/>
      <c r="MZ326" s="100"/>
      <c r="NA326" s="100"/>
      <c r="NB326" s="100"/>
      <c r="NC326" s="100"/>
      <c r="ND326" s="100"/>
      <c r="NE326" s="100"/>
      <c r="NF326" s="100"/>
      <c r="NG326" s="100"/>
      <c r="NH326" s="100"/>
      <c r="NI326" s="100"/>
      <c r="NJ326" s="100"/>
      <c r="NK326" s="100"/>
      <c r="NL326" s="100"/>
      <c r="NM326" s="100"/>
      <c r="NN326" s="100"/>
      <c r="NO326" s="100"/>
      <c r="NP326" s="100"/>
      <c r="NQ326" s="100"/>
      <c r="NR326" s="100"/>
      <c r="NS326" s="100"/>
      <c r="NT326" s="100"/>
      <c r="NU326" s="100"/>
      <c r="NV326" s="100"/>
      <c r="NW326" s="100"/>
      <c r="NX326" s="100"/>
      <c r="NY326" s="100"/>
      <c r="NZ326" s="100"/>
      <c r="OA326" s="100"/>
      <c r="OB326" s="100"/>
      <c r="OC326" s="100"/>
      <c r="OD326" s="100"/>
      <c r="OE326" s="100"/>
      <c r="OF326" s="100"/>
      <c r="OG326" s="100"/>
      <c r="OH326" s="100"/>
      <c r="OI326" s="100"/>
      <c r="OJ326" s="100"/>
      <c r="OK326" s="100"/>
      <c r="OL326" s="100"/>
      <c r="OM326" s="100"/>
      <c r="ON326" s="100"/>
      <c r="OO326" s="100"/>
      <c r="OP326" s="100"/>
      <c r="OQ326" s="100"/>
      <c r="OR326" s="100"/>
      <c r="OS326" s="100"/>
      <c r="OT326" s="100"/>
      <c r="OU326" s="100"/>
      <c r="OV326" s="100"/>
      <c r="OW326" s="100"/>
      <c r="OX326" s="100"/>
      <c r="OY326" s="100"/>
      <c r="OZ326" s="100"/>
      <c r="PA326" s="100"/>
      <c r="PB326" s="100"/>
      <c r="PC326" s="100"/>
      <c r="PD326" s="100"/>
      <c r="PE326" s="100"/>
      <c r="PF326" s="100"/>
      <c r="PG326" s="100"/>
      <c r="PH326" s="100"/>
      <c r="PI326" s="100"/>
      <c r="PJ326" s="100"/>
      <c r="PK326" s="100"/>
      <c r="PL326" s="100"/>
      <c r="PM326" s="100"/>
      <c r="PN326" s="100"/>
      <c r="PO326" s="100"/>
      <c r="PP326" s="100"/>
      <c r="PQ326" s="100"/>
      <c r="PR326" s="100"/>
      <c r="PS326" s="100"/>
      <c r="PT326" s="100"/>
      <c r="PU326" s="100"/>
      <c r="PV326" s="100"/>
      <c r="PW326" s="100"/>
      <c r="PX326" s="100"/>
      <c r="PY326" s="100"/>
      <c r="PZ326" s="100"/>
      <c r="QA326" s="100"/>
      <c r="QB326" s="100"/>
      <c r="QC326" s="100"/>
      <c r="QD326" s="100"/>
      <c r="QE326" s="100"/>
      <c r="QF326" s="100"/>
      <c r="QG326" s="100"/>
      <c r="QH326" s="100"/>
      <c r="QI326" s="100"/>
      <c r="QJ326" s="100"/>
      <c r="QK326" s="100"/>
      <c r="QL326" s="100"/>
      <c r="QM326" s="100"/>
      <c r="QN326" s="100"/>
      <c r="QO326" s="100"/>
      <c r="QP326" s="100"/>
      <c r="QQ326" s="100"/>
      <c r="QR326" s="100"/>
      <c r="QS326" s="100"/>
      <c r="QT326" s="100"/>
      <c r="QU326" s="100"/>
      <c r="QV326" s="100"/>
      <c r="QW326" s="100"/>
      <c r="QX326" s="100"/>
      <c r="QY326" s="100"/>
      <c r="QZ326" s="100"/>
      <c r="RA326" s="100"/>
      <c r="RB326" s="100"/>
      <c r="RC326" s="100"/>
      <c r="RD326" s="100"/>
      <c r="RE326" s="100"/>
      <c r="RF326" s="100"/>
      <c r="RG326" s="100"/>
      <c r="RH326" s="100"/>
      <c r="RI326" s="100"/>
      <c r="RJ326" s="100"/>
      <c r="RK326" s="100"/>
      <c r="RL326" s="100"/>
      <c r="RM326" s="100"/>
      <c r="RN326" s="100"/>
      <c r="RO326" s="100"/>
      <c r="RP326" s="100"/>
      <c r="RQ326" s="100"/>
      <c r="RR326" s="100"/>
      <c r="RS326" s="100"/>
      <c r="RT326" s="100"/>
      <c r="RU326" s="100"/>
      <c r="RV326" s="100"/>
      <c r="RW326" s="100"/>
      <c r="RX326" s="100"/>
      <c r="RY326" s="100"/>
      <c r="RZ326" s="100"/>
      <c r="SA326" s="100"/>
      <c r="SB326" s="100"/>
      <c r="SC326" s="100"/>
      <c r="SD326" s="100"/>
      <c r="SE326" s="100"/>
      <c r="SF326" s="100"/>
      <c r="SG326" s="100"/>
      <c r="SH326" s="100"/>
      <c r="SI326" s="100"/>
      <c r="SJ326" s="100"/>
      <c r="SK326" s="100"/>
      <c r="SL326" s="100"/>
      <c r="SM326" s="100"/>
      <c r="SN326" s="100"/>
      <c r="SO326" s="100"/>
      <c r="SP326" s="100"/>
      <c r="SQ326" s="100"/>
      <c r="SR326" s="100"/>
      <c r="SS326" s="100"/>
      <c r="ST326" s="100"/>
      <c r="SU326" s="100"/>
      <c r="SV326" s="100"/>
      <c r="SW326" s="100"/>
      <c r="SX326" s="100"/>
      <c r="SY326" s="100"/>
      <c r="SZ326" s="100"/>
      <c r="TA326" s="100"/>
      <c r="TB326" s="100"/>
      <c r="TC326" s="100"/>
      <c r="TD326" s="100"/>
      <c r="TE326" s="100"/>
      <c r="TF326" s="100"/>
      <c r="TG326" s="100"/>
      <c r="TH326" s="100"/>
      <c r="TI326" s="100"/>
      <c r="TJ326" s="100"/>
      <c r="TK326" s="100"/>
      <c r="TL326" s="100"/>
      <c r="TM326" s="100"/>
      <c r="TN326" s="100"/>
      <c r="TO326" s="100"/>
      <c r="TP326" s="100"/>
      <c r="TQ326" s="100"/>
      <c r="TR326" s="100"/>
      <c r="TS326" s="100"/>
      <c r="TT326" s="100"/>
      <c r="TU326" s="100"/>
      <c r="TV326" s="100"/>
      <c r="TW326" s="100"/>
      <c r="TX326" s="100"/>
      <c r="TY326" s="100"/>
      <c r="TZ326" s="100"/>
      <c r="UA326" s="100"/>
      <c r="UB326" s="100"/>
      <c r="UC326" s="100"/>
      <c r="UD326" s="100"/>
      <c r="UE326" s="100"/>
      <c r="UF326" s="100"/>
      <c r="UG326" s="100"/>
      <c r="UH326" s="100"/>
      <c r="UI326" s="100"/>
      <c r="UJ326" s="100"/>
      <c r="UK326" s="100"/>
      <c r="UL326" s="100"/>
      <c r="UM326" s="100"/>
      <c r="UN326" s="100"/>
      <c r="UO326" s="100"/>
      <c r="UP326" s="100"/>
      <c r="UQ326" s="100"/>
      <c r="UR326" s="100"/>
      <c r="US326" s="100"/>
      <c r="UT326" s="100"/>
      <c r="UU326" s="100"/>
      <c r="UV326" s="100"/>
      <c r="UW326" s="100"/>
      <c r="UX326" s="100"/>
      <c r="UY326" s="100"/>
      <c r="UZ326" s="100"/>
      <c r="VA326" s="100"/>
      <c r="VB326" s="100"/>
      <c r="VC326" s="100"/>
      <c r="VD326" s="100"/>
      <c r="VE326" s="100"/>
      <c r="VF326" s="100"/>
      <c r="VG326" s="100"/>
      <c r="VH326" s="100"/>
      <c r="VI326" s="100"/>
      <c r="VJ326" s="100"/>
      <c r="VK326" s="100"/>
      <c r="VL326" s="100"/>
      <c r="VM326" s="100"/>
      <c r="VN326" s="100"/>
      <c r="VO326" s="100"/>
      <c r="VP326" s="100"/>
      <c r="VQ326" s="100"/>
      <c r="VR326" s="100"/>
      <c r="VS326" s="100"/>
      <c r="VT326" s="100"/>
      <c r="VU326" s="100"/>
      <c r="VV326" s="100"/>
      <c r="VW326" s="100"/>
      <c r="VX326" s="100"/>
      <c r="VY326" s="100"/>
      <c r="VZ326" s="100"/>
      <c r="WA326" s="100"/>
      <c r="WB326" s="100"/>
      <c r="WC326" s="100"/>
      <c r="WD326" s="100"/>
      <c r="WE326" s="100"/>
      <c r="WF326" s="100"/>
      <c r="WG326" s="100"/>
      <c r="WH326" s="100"/>
      <c r="WI326" s="100"/>
      <c r="WJ326" s="100"/>
      <c r="WK326" s="100"/>
      <c r="WL326" s="100"/>
      <c r="WM326" s="100"/>
      <c r="WN326" s="100"/>
      <c r="WO326" s="100"/>
      <c r="WP326" s="100"/>
      <c r="WQ326" s="100"/>
      <c r="WR326" s="100"/>
      <c r="WS326" s="100"/>
      <c r="WT326" s="100"/>
      <c r="WU326" s="100"/>
      <c r="WV326" s="100"/>
      <c r="WW326" s="100"/>
      <c r="WX326" s="100"/>
      <c r="WY326" s="100"/>
      <c r="WZ326" s="100"/>
      <c r="XA326" s="100"/>
      <c r="XB326" s="100"/>
      <c r="XC326" s="100"/>
      <c r="XD326" s="100"/>
      <c r="XE326" s="100"/>
      <c r="XF326" s="100"/>
      <c r="XG326" s="100"/>
      <c r="XH326" s="100"/>
      <c r="XI326" s="100"/>
      <c r="XJ326" s="100"/>
      <c r="XK326" s="100"/>
      <c r="XL326" s="100"/>
      <c r="XM326" s="100"/>
      <c r="XN326" s="100"/>
      <c r="XO326" s="100"/>
      <c r="XP326" s="100"/>
      <c r="XQ326" s="100"/>
      <c r="XR326" s="100"/>
      <c r="XS326" s="100"/>
      <c r="XT326" s="100"/>
      <c r="XU326" s="100"/>
      <c r="XV326" s="100"/>
      <c r="XW326" s="100"/>
      <c r="XX326" s="100"/>
      <c r="XY326" s="100"/>
      <c r="XZ326" s="100"/>
      <c r="YA326" s="100"/>
      <c r="YB326" s="100"/>
      <c r="YC326" s="100"/>
      <c r="YD326" s="100"/>
      <c r="YE326" s="100"/>
      <c r="YF326" s="100"/>
      <c r="YG326" s="100"/>
      <c r="YH326" s="100"/>
      <c r="YI326" s="100"/>
      <c r="YJ326" s="100"/>
      <c r="YK326" s="100"/>
      <c r="YL326" s="100"/>
      <c r="YM326" s="100"/>
      <c r="YN326" s="100"/>
      <c r="YO326" s="100"/>
      <c r="YP326" s="100"/>
      <c r="YQ326" s="100"/>
      <c r="YR326" s="100"/>
      <c r="YS326" s="100"/>
      <c r="YT326" s="100"/>
      <c r="YU326" s="100"/>
      <c r="YV326" s="100"/>
      <c r="YW326" s="100"/>
      <c r="YX326" s="100"/>
      <c r="YY326" s="100"/>
      <c r="YZ326" s="100"/>
      <c r="ZA326" s="100"/>
      <c r="ZB326" s="100"/>
      <c r="ZC326" s="100"/>
      <c r="ZD326" s="100"/>
      <c r="ZE326" s="100"/>
      <c r="ZF326" s="100"/>
      <c r="ZG326" s="100"/>
      <c r="ZH326" s="100"/>
      <c r="ZI326" s="100"/>
      <c r="ZJ326" s="100"/>
      <c r="ZK326" s="100"/>
      <c r="ZL326" s="100"/>
      <c r="ZM326" s="100"/>
      <c r="ZN326" s="100"/>
      <c r="ZO326" s="100"/>
      <c r="ZP326" s="100"/>
      <c r="ZQ326" s="100"/>
      <c r="ZR326" s="100"/>
      <c r="ZS326" s="100"/>
      <c r="ZT326" s="100"/>
      <c r="ZU326" s="100"/>
      <c r="ZV326" s="100"/>
      <c r="ZW326" s="100"/>
      <c r="ZX326" s="100"/>
      <c r="ZY326" s="100"/>
      <c r="ZZ326" s="100"/>
      <c r="AAA326" s="100"/>
      <c r="AAB326" s="100"/>
      <c r="AAC326" s="100"/>
      <c r="AAD326" s="100"/>
      <c r="AAE326" s="100"/>
      <c r="AAF326" s="100"/>
      <c r="AAG326" s="100"/>
      <c r="AAH326" s="100"/>
      <c r="AAI326" s="100"/>
      <c r="AAJ326" s="100"/>
      <c r="AAK326" s="100"/>
      <c r="AAL326" s="100"/>
      <c r="AAM326" s="100"/>
      <c r="AAN326" s="100"/>
      <c r="AAO326" s="100"/>
      <c r="AAP326" s="100"/>
      <c r="AAQ326" s="100"/>
      <c r="AAR326" s="100"/>
      <c r="AAS326" s="100"/>
      <c r="AAT326" s="100"/>
      <c r="AAU326" s="100"/>
      <c r="AAV326" s="100"/>
      <c r="AAW326" s="100"/>
      <c r="AAX326" s="100"/>
      <c r="AAY326" s="100"/>
      <c r="AAZ326" s="100"/>
      <c r="ABA326" s="100"/>
      <c r="ABB326" s="100"/>
      <c r="ABC326" s="100"/>
      <c r="ABD326" s="100"/>
      <c r="ABE326" s="100"/>
      <c r="ABF326" s="100"/>
      <c r="ABG326" s="100"/>
      <c r="ABH326" s="100"/>
      <c r="ABI326" s="100"/>
      <c r="ABJ326" s="100"/>
      <c r="ABK326" s="100"/>
      <c r="ABL326" s="100"/>
      <c r="ABM326" s="100"/>
      <c r="ABN326" s="100"/>
      <c r="ABO326" s="100"/>
      <c r="ABP326" s="100"/>
      <c r="ABQ326" s="100"/>
      <c r="ABR326" s="100"/>
      <c r="ABS326" s="100"/>
      <c r="ABT326" s="100"/>
      <c r="ABU326" s="100"/>
      <c r="ABV326" s="100"/>
      <c r="ABW326" s="100"/>
      <c r="ABX326" s="100"/>
      <c r="ABY326" s="100"/>
      <c r="ABZ326" s="100"/>
      <c r="ACA326" s="100"/>
      <c r="ACB326" s="100"/>
      <c r="ACC326" s="100"/>
      <c r="ACD326" s="100"/>
      <c r="ACE326" s="100"/>
      <c r="ACF326" s="100"/>
      <c r="ACG326" s="100"/>
      <c r="ACH326" s="100"/>
      <c r="ACI326" s="100"/>
      <c r="ACJ326" s="100"/>
      <c r="ACK326" s="100"/>
      <c r="ACL326" s="100"/>
      <c r="ACM326" s="100"/>
      <c r="ACN326" s="100"/>
      <c r="ACO326" s="100"/>
      <c r="ACP326" s="100"/>
      <c r="ACQ326" s="100"/>
      <c r="ACR326" s="100"/>
      <c r="ACS326" s="100"/>
      <c r="ACT326" s="100"/>
      <c r="ACU326" s="100"/>
      <c r="ACV326" s="100"/>
      <c r="ACW326" s="100"/>
      <c r="ACX326" s="100"/>
      <c r="ACY326" s="100"/>
      <c r="ACZ326" s="100"/>
      <c r="ADA326" s="100"/>
      <c r="ADB326" s="100"/>
      <c r="ADC326" s="100"/>
      <c r="ADD326" s="100"/>
      <c r="ADE326" s="100"/>
      <c r="ADF326" s="100"/>
      <c r="ADG326" s="100"/>
      <c r="ADH326" s="100"/>
      <c r="ADI326" s="100"/>
      <c r="ADJ326" s="100"/>
      <c r="ADK326" s="100"/>
      <c r="ADL326" s="100"/>
      <c r="ADM326" s="100"/>
      <c r="ADN326" s="100"/>
      <c r="ADO326" s="100"/>
      <c r="ADP326" s="100"/>
      <c r="ADQ326" s="100"/>
      <c r="ADR326" s="100"/>
      <c r="ADS326" s="100"/>
      <c r="ADT326" s="100"/>
      <c r="ADU326" s="100"/>
      <c r="ADV326" s="100"/>
      <c r="ADW326" s="100"/>
      <c r="ADX326" s="100"/>
      <c r="ADY326" s="100"/>
      <c r="ADZ326" s="100"/>
      <c r="AEA326" s="100"/>
      <c r="AEB326" s="100"/>
      <c r="AEC326" s="100"/>
      <c r="AED326" s="100"/>
      <c r="AEE326" s="100"/>
      <c r="AEF326" s="100"/>
      <c r="AEG326" s="100"/>
      <c r="AEH326" s="100"/>
      <c r="AEI326" s="100"/>
      <c r="AEJ326" s="100"/>
      <c r="AEK326" s="100"/>
      <c r="AEL326" s="100"/>
      <c r="AEM326" s="100"/>
      <c r="AEN326" s="100"/>
      <c r="AEO326" s="100"/>
      <c r="AEP326" s="100"/>
      <c r="AEQ326" s="100"/>
      <c r="AER326" s="100"/>
      <c r="AES326" s="100"/>
      <c r="AET326" s="100"/>
      <c r="AEU326" s="100"/>
      <c r="AEV326" s="100"/>
      <c r="AEW326" s="100"/>
      <c r="AEX326" s="100"/>
      <c r="AEY326" s="100"/>
      <c r="AEZ326" s="100"/>
      <c r="AFA326" s="100"/>
      <c r="AFB326" s="100"/>
      <c r="AFC326" s="100"/>
      <c r="AFD326" s="100"/>
      <c r="AFE326" s="100"/>
      <c r="AFF326" s="100"/>
      <c r="AFG326" s="100"/>
      <c r="AFH326" s="100"/>
      <c r="AFI326" s="100"/>
      <c r="AFJ326" s="100"/>
      <c r="AFK326" s="100"/>
      <c r="AFL326" s="100"/>
      <c r="AFM326" s="100"/>
      <c r="AFN326" s="100"/>
      <c r="AFO326" s="100"/>
      <c r="AFP326" s="100"/>
      <c r="AFQ326" s="100"/>
      <c r="AFR326" s="100"/>
      <c r="AFS326" s="100"/>
      <c r="AFT326" s="100"/>
      <c r="AFU326" s="100"/>
      <c r="AFV326" s="100"/>
      <c r="AFW326" s="100"/>
      <c r="AFX326" s="100"/>
      <c r="AFY326" s="100"/>
      <c r="AFZ326" s="100"/>
      <c r="AGA326" s="100"/>
      <c r="AGB326" s="100"/>
      <c r="AGC326" s="100"/>
      <c r="AGD326" s="100"/>
      <c r="AGE326" s="100"/>
      <c r="AGF326" s="100"/>
      <c r="AGG326" s="100"/>
      <c r="AGH326" s="100"/>
      <c r="AGI326" s="100"/>
      <c r="AGJ326" s="100"/>
      <c r="AGK326" s="100"/>
      <c r="AGL326" s="100"/>
      <c r="AGM326" s="100"/>
      <c r="AGN326" s="100"/>
      <c r="AGO326" s="100"/>
      <c r="AGP326" s="100"/>
      <c r="AGQ326" s="100"/>
      <c r="AGR326" s="100"/>
      <c r="AGS326" s="100"/>
      <c r="AGT326" s="100"/>
      <c r="AGU326" s="100"/>
      <c r="AGV326" s="100"/>
      <c r="AGW326" s="100"/>
      <c r="AGX326" s="100"/>
      <c r="AGY326" s="100"/>
      <c r="AGZ326" s="100"/>
      <c r="AHA326" s="100"/>
      <c r="AHB326" s="100"/>
      <c r="AHC326" s="100"/>
      <c r="AHD326" s="100"/>
      <c r="AHE326" s="100"/>
      <c r="AHF326" s="100"/>
      <c r="AHG326" s="100"/>
      <c r="AHH326" s="100"/>
      <c r="AHI326" s="100"/>
      <c r="AHJ326" s="100"/>
      <c r="AHK326" s="100"/>
      <c r="AHL326" s="100"/>
      <c r="AHM326" s="100"/>
      <c r="AHN326" s="100"/>
      <c r="AHO326" s="100"/>
      <c r="AHP326" s="100"/>
      <c r="AHQ326" s="100"/>
      <c r="AHR326" s="100"/>
      <c r="AHS326" s="100"/>
      <c r="AHT326" s="100"/>
      <c r="AHU326" s="100"/>
      <c r="AHV326" s="100"/>
      <c r="AHW326" s="100"/>
      <c r="AHX326" s="100"/>
      <c r="AHY326" s="100"/>
      <c r="AHZ326" s="100"/>
      <c r="AIA326" s="100"/>
      <c r="AIB326" s="100"/>
      <c r="AIC326" s="100"/>
      <c r="AID326" s="100"/>
      <c r="AIE326" s="100"/>
      <c r="AIF326" s="100"/>
      <c r="AIG326" s="100"/>
      <c r="AIH326" s="100"/>
      <c r="AII326" s="100"/>
      <c r="AIJ326" s="100"/>
      <c r="AIK326" s="100"/>
      <c r="AIL326" s="100"/>
      <c r="AIM326" s="100"/>
      <c r="AIN326" s="100"/>
      <c r="AIO326" s="100"/>
      <c r="AIP326" s="100"/>
      <c r="AIQ326" s="100"/>
      <c r="AIR326" s="100"/>
      <c r="AIS326" s="100"/>
      <c r="AIT326" s="100"/>
      <c r="AIU326" s="100"/>
      <c r="AIV326" s="100"/>
      <c r="AIW326" s="100"/>
      <c r="AIX326" s="100"/>
      <c r="AIY326" s="100"/>
      <c r="AIZ326" s="100"/>
      <c r="AJA326" s="100"/>
      <c r="AJB326" s="100"/>
      <c r="AJC326" s="100"/>
      <c r="AJD326" s="100"/>
      <c r="AJE326" s="100"/>
      <c r="AJF326" s="100"/>
      <c r="AJG326" s="100"/>
      <c r="AJH326" s="100"/>
      <c r="AJI326" s="100"/>
      <c r="AJJ326" s="100"/>
      <c r="AJK326" s="100"/>
      <c r="AJL326" s="100"/>
      <c r="AJM326" s="100"/>
      <c r="AJN326" s="100"/>
      <c r="AJO326" s="100"/>
      <c r="AJP326" s="100"/>
      <c r="AJQ326" s="100"/>
      <c r="AJR326" s="100"/>
      <c r="AJS326" s="100"/>
      <c r="AJT326" s="100"/>
      <c r="AJU326" s="100"/>
      <c r="AJV326" s="100"/>
      <c r="AJW326" s="100"/>
      <c r="AJX326" s="100"/>
      <c r="AJY326" s="100"/>
      <c r="AJZ326" s="100"/>
      <c r="AKA326" s="100"/>
      <c r="AKB326" s="100"/>
      <c r="AKC326" s="100"/>
      <c r="AKD326" s="100"/>
      <c r="AKE326" s="100"/>
      <c r="AKF326" s="100"/>
      <c r="AKG326" s="100"/>
      <c r="AKH326" s="100"/>
      <c r="AKI326" s="100"/>
      <c r="AKJ326" s="100"/>
      <c r="AKK326" s="100"/>
      <c r="AKL326" s="100"/>
      <c r="AKM326" s="100"/>
      <c r="AKN326" s="100"/>
      <c r="AKO326" s="100"/>
      <c r="AKP326" s="100"/>
      <c r="AKQ326" s="100"/>
      <c r="AKR326" s="100"/>
      <c r="AKS326" s="100"/>
      <c r="AKT326" s="100"/>
      <c r="AKU326" s="100"/>
      <c r="AKV326" s="100"/>
      <c r="AKW326" s="100"/>
      <c r="AKX326" s="100"/>
      <c r="AKY326" s="100"/>
      <c r="AKZ326" s="100"/>
      <c r="ALA326" s="100"/>
      <c r="ALB326" s="100"/>
      <c r="ALC326" s="100"/>
      <c r="ALD326" s="100"/>
      <c r="ALE326" s="100"/>
      <c r="ALF326" s="100"/>
      <c r="ALG326" s="100"/>
      <c r="ALH326" s="100"/>
      <c r="ALI326" s="100"/>
      <c r="ALJ326" s="100"/>
      <c r="ALK326" s="100"/>
      <c r="ALL326" s="100"/>
      <c r="ALM326" s="100"/>
      <c r="ALN326" s="100"/>
      <c r="ALO326" s="100"/>
      <c r="ALP326" s="100"/>
      <c r="ALQ326" s="100"/>
      <c r="ALR326" s="100"/>
      <c r="ALS326" s="100"/>
      <c r="ALT326" s="100"/>
      <c r="ALU326" s="100"/>
      <c r="ALV326" s="100"/>
      <c r="ALW326" s="100"/>
      <c r="ALX326" s="100"/>
      <c r="ALY326" s="100"/>
      <c r="ALZ326" s="100"/>
      <c r="AMA326" s="100"/>
      <c r="AMB326" s="100"/>
      <c r="AMC326" s="100"/>
      <c r="AMD326" s="100"/>
    </row>
    <row r="328" spans="1:1018" ht="11.25" customHeight="1" x14ac:dyDescent="0.2">
      <c r="F328" s="154"/>
      <c r="H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C328" s="117"/>
      <c r="AD328" s="118"/>
    </row>
    <row r="332" spans="1:1018" x14ac:dyDescent="0.2">
      <c r="Q332" s="149"/>
    </row>
  </sheetData>
  <autoFilter ref="A7:BB326"/>
  <mergeCells count="16">
    <mergeCell ref="AA6:AB6"/>
    <mergeCell ref="A5:D5"/>
    <mergeCell ref="N3:T3"/>
    <mergeCell ref="E6:F6"/>
    <mergeCell ref="K6:L6"/>
    <mergeCell ref="V6:W6"/>
    <mergeCell ref="U3:AB4"/>
    <mergeCell ref="A3:D4"/>
    <mergeCell ref="G6:H6"/>
    <mergeCell ref="I6:J6"/>
    <mergeCell ref="A1:AG1"/>
    <mergeCell ref="AG2:AG3"/>
    <mergeCell ref="G3:H3"/>
    <mergeCell ref="I3:J3"/>
    <mergeCell ref="AP2:AP5"/>
    <mergeCell ref="AJ2:AJ5"/>
  </mergeCells>
  <dataValidations disablePrompts="1" count="1">
    <dataValidation type="list" allowBlank="1" showInputMessage="1" showErrorMessage="1" error="VALOR INCORRECTO" sqref="F4 AL5 AG4">
      <formula1>$AH$3:$AH$4</formula1>
      <formula2>0</formula2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601</v>
      </c>
      <c r="B1" t="s">
        <v>602</v>
      </c>
      <c r="C1" t="s">
        <v>48</v>
      </c>
      <c r="D1" t="s">
        <v>631</v>
      </c>
    </row>
    <row r="2" spans="1:4" x14ac:dyDescent="0.2">
      <c r="A2" t="str">
        <f>CONCATENATE(C2,"   ",D2)</f>
        <v xml:space="preserve">           SIN ESPECIFICAR</v>
      </c>
      <c r="C2" s="73" t="str">
        <f>REPT("  ",4)</f>
        <v xml:space="preserve">        </v>
      </c>
      <c r="D2" s="73" t="s">
        <v>633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73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75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77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79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81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83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85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87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89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91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93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95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97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99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101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103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105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107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109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111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113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115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117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119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121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123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125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127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129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131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133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135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137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139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139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142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144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146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148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150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152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154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156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158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160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162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164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166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168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170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172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174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176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178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180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182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184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186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188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190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192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194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196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198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200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202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204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206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208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210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212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214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216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218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220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222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224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226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228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230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232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233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235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236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238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239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241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243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245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247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249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251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253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255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257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259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261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263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265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267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269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271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273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275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277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279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281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283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285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287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289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291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293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295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297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299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301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303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305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307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309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311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313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315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317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319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321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323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325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327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329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331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333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335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337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339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341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343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345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347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349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351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353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355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357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359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361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363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365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367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369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370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372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374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375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377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379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381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383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385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387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389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391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393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395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397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399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401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403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405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407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409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411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413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415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417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419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421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423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425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427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429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431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3" t="s">
        <v>641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3" t="s">
        <v>637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3" t="s">
        <v>638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3" t="s">
        <v>639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3" t="s">
        <v>640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3" t="s">
        <v>642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3" t="s">
        <v>643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3" t="s">
        <v>644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3" t="s">
        <v>645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3" t="s">
        <v>646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3" t="s">
        <v>647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3" t="s">
        <v>649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3" t="s">
        <v>648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3" t="s">
        <v>650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3" t="s">
        <v>651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3" t="s">
        <v>652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3" t="s">
        <v>653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3" t="s">
        <v>654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3" t="s">
        <v>655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3" t="s">
        <v>656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3" t="s">
        <v>657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3" t="s">
        <v>658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3" t="s">
        <v>659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3" t="s">
        <v>660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3" t="s">
        <v>661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3" t="s">
        <v>662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3" t="s">
        <v>663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3" t="s">
        <v>664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3" t="s">
        <v>665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3" t="s">
        <v>666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3" t="s">
        <v>667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3" t="s">
        <v>668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3" t="s">
        <v>669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3" t="s">
        <v>670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3" t="s">
        <v>671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3" t="s">
        <v>672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3" t="s">
        <v>673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3" t="s">
        <v>674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3" t="s">
        <v>675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3" t="s">
        <v>676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3" t="s">
        <v>677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3" t="s">
        <v>678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3" t="s">
        <v>679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3" t="s">
        <v>680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3" t="s">
        <v>681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3" t="s">
        <v>682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3" t="s">
        <v>683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3" t="s">
        <v>684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3" t="s">
        <v>685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3" t="s">
        <v>686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3" t="s">
        <v>687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3" t="s">
        <v>688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3" t="s">
        <v>689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3" t="s">
        <v>690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3" t="s">
        <v>691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3" t="s">
        <v>692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3" t="s">
        <v>693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3" t="s">
        <v>694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3" t="s">
        <v>695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3" t="s">
        <v>696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3" t="s">
        <v>697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3" t="s">
        <v>698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3" t="s">
        <v>699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3" t="s">
        <v>700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3" t="s">
        <v>701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3" t="s">
        <v>702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3" t="s">
        <v>703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3" t="s">
        <v>704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3" t="s">
        <v>705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3" t="s">
        <v>706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3" t="s">
        <v>707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3" t="s">
        <v>708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3" t="s">
        <v>709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3" t="s">
        <v>710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3" t="s">
        <v>711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3" t="s">
        <v>712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3" t="s">
        <v>713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3" t="s">
        <v>714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3" t="s">
        <v>715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3" t="s">
        <v>716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3" t="s">
        <v>717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3" t="s">
        <v>718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3" t="s">
        <v>719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3" t="s">
        <v>720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3" t="s">
        <v>721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3" t="s">
        <v>722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3" t="s">
        <v>723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3" t="s">
        <v>727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3" t="s">
        <v>725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3" t="s">
        <v>724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3" t="s">
        <v>728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3" t="s">
        <v>726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3" t="s">
        <v>729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3" t="s">
        <v>730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3" t="s">
        <v>731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3" t="s">
        <v>732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3" t="s">
        <v>733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3" t="s">
        <v>734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3" t="s">
        <v>735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3" t="s">
        <v>736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3" t="s">
        <v>737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3" t="s">
        <v>738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3" t="s">
        <v>739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3" t="s">
        <v>740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3" t="s">
        <v>741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3" t="s">
        <v>742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3" t="s">
        <v>743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3" t="s">
        <v>744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435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437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597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438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439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440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441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442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443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444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445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446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447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448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449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450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451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452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453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454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455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456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457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458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459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460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461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462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3"/>
      <c r="B1" s="73" t="s">
        <v>604</v>
      </c>
      <c r="E1" s="175">
        <v>30</v>
      </c>
      <c r="G1" s="175">
        <v>30</v>
      </c>
      <c r="I1" s="175">
        <v>30</v>
      </c>
      <c r="K1" s="175">
        <v>30</v>
      </c>
    </row>
    <row r="2" spans="1:11" x14ac:dyDescent="0.2">
      <c r="A2" s="184"/>
      <c r="B2" s="73" t="s">
        <v>632</v>
      </c>
      <c r="E2" s="182">
        <v>0</v>
      </c>
      <c r="G2" s="182">
        <v>0</v>
      </c>
      <c r="H2" s="182"/>
      <c r="I2" s="182">
        <v>0</v>
      </c>
      <c r="J2" s="182"/>
      <c r="K2" s="182">
        <v>0</v>
      </c>
    </row>
    <row r="3" spans="1:11" ht="33.75" customHeight="1" x14ac:dyDescent="0.2">
      <c r="A3" s="179" t="s">
        <v>628</v>
      </c>
      <c r="B3" s="178" t="s">
        <v>630</v>
      </c>
      <c r="E3" s="180" t="s">
        <v>745</v>
      </c>
      <c r="F3" s="181"/>
      <c r="G3" s="180" t="s">
        <v>746</v>
      </c>
      <c r="H3" s="181"/>
      <c r="I3" s="180" t="s">
        <v>747</v>
      </c>
      <c r="J3" s="181"/>
      <c r="K3" s="180" t="s">
        <v>634</v>
      </c>
    </row>
    <row r="4" spans="1:11" hidden="1" x14ac:dyDescent="0.2">
      <c r="B4" t="s">
        <v>629</v>
      </c>
      <c r="E4" s="175">
        <f>VLOOKUP(E3,Hoja2!$A$1:$B$321,2,FALSE)</f>
        <v>224</v>
      </c>
      <c r="G4" s="175">
        <f>VLOOKUP(G3,Hoja2!$A$1:$B$321,2,FALSE)</f>
        <v>151</v>
      </c>
      <c r="I4" s="175">
        <f>VLOOKUP(I3,Hoja2!$A$1:$B$321,2,FALSE)</f>
        <v>313</v>
      </c>
      <c r="K4" s="175" t="e">
        <f>VLOOKUP(K3,Hoja2!$A$1:$B$321,2,FALSE)</f>
        <v>#N/A</v>
      </c>
    </row>
    <row r="5" spans="1:11" ht="42" hidden="1" customHeight="1" x14ac:dyDescent="0.2">
      <c r="A5" s="73" t="s">
        <v>628</v>
      </c>
      <c r="B5" s="73"/>
      <c r="D5" s="176" t="str">
        <f>_xlfn.IFNA(VLOOKUP(E$4,'Escala Docente'!$C$8:$AS$326,2,FALSE),"SIN ESPEC")</f>
        <v>Hora Cátedra Enseñanza Media 3 hs</v>
      </c>
      <c r="E5" s="176" t="str">
        <f>D5</f>
        <v>Hora Cátedra Enseñanza Media 3 hs</v>
      </c>
      <c r="F5" s="176" t="str">
        <f>_xlfn.IFNA(VLOOKUP(G$4,'Escala Docente'!$C$8:$AS$326,2,FALSE),"SIN ESPEC")</f>
        <v>Maestro Materia Especial</v>
      </c>
      <c r="G5" s="176" t="str">
        <f>F5</f>
        <v>Maestro Materia Especial</v>
      </c>
      <c r="H5" s="176" t="str">
        <f>_xlfn.IFNA(VLOOKUP(I$4,'Escala Docente'!$C$8:$AS$326,2,FALSE),"SIN ESPEC")</f>
        <v>Prol Jor (13-515) 16 horas</v>
      </c>
      <c r="I5" s="176" t="str">
        <f>H5</f>
        <v>Prol Jor (13-515) 16 horas</v>
      </c>
      <c r="J5" s="176" t="str">
        <f>_xlfn.IFNA(VLOOKUP(K$4,'Escala Docente'!$C$8:$AS$326,2,FALSE),"SIN ESPEC")</f>
        <v>SIN ESPEC</v>
      </c>
      <c r="K5" s="176" t="str">
        <f>J5</f>
        <v>SIN ESPEC</v>
      </c>
    </row>
    <row r="6" spans="1:11" ht="12.75" customHeight="1" x14ac:dyDescent="0.2">
      <c r="A6" t="s">
        <v>605</v>
      </c>
      <c r="C6" s="8">
        <v>0</v>
      </c>
      <c r="D6" s="183">
        <f>_xlfn.IFNA(VLOOKUP(E$4,'Escala Docente'!$C$8:$AS$326,4,FALSE),0)</f>
        <v>23180.02</v>
      </c>
      <c r="E6" s="177">
        <f>ROUND(D6*E$1/30,2)</f>
        <v>23180.02</v>
      </c>
      <c r="F6" s="183">
        <f>_xlfn.IFNA(VLOOKUP(G$4,'Escala Docente'!$C$8:$AS$326,4,FALSE),0)</f>
        <v>94969.63</v>
      </c>
      <c r="G6" s="177">
        <f>ROUND(F6*G$1/30,2)</f>
        <v>94969.63</v>
      </c>
      <c r="H6" s="183">
        <f>_xlfn.IFNA(VLOOKUP(I$4,'Escala Docente'!$C$8:$AS$326,4,FALSE),0)</f>
        <v>242558.88</v>
      </c>
      <c r="I6" s="177">
        <f>ROUND(H6*I$1/30,2)</f>
        <v>242558.88</v>
      </c>
      <c r="J6" s="183">
        <f>_xlfn.IFNA(VLOOKUP(K$4,'Escala Docente'!$C$8:$AS$326,4,FALSE),0)</f>
        <v>0</v>
      </c>
      <c r="K6" s="177">
        <f>ROUND(J6*K$1/30,2)</f>
        <v>0</v>
      </c>
    </row>
    <row r="7" spans="1:11" ht="12.75" customHeight="1" x14ac:dyDescent="0.2">
      <c r="A7" t="s">
        <v>606</v>
      </c>
      <c r="C7" s="8" t="e">
        <f>Valores!#REF!</f>
        <v>#REF!</v>
      </c>
      <c r="D7" s="183">
        <f>_xlfn.IFNA(VLOOKUP(E$4,'Escala Docente'!$C$8:$AS$326,34,FALSE),0)</f>
        <v>-1629.4861000000001</v>
      </c>
      <c r="E7" s="177" t="e">
        <f>IF((ROUND(D7*E$1/30,2)+(ROUND(F7*$G$1/30,2))+ROUND(H7*$I$1/30,2)+ROUND(J7*$K$1/30,2))&gt;C7,C7,(ROUND(D7*E$1/30,2)+ROUND(F7*$G$1/30,2)+ROUND(H7*$I$1/30,2)+ROUND(J7*$K$1/30,2)))</f>
        <v>#REF!</v>
      </c>
      <c r="F7" s="183">
        <f>_xlfn.IFNA(VLOOKUP(G$4,'Escala Docente'!$C$8:$AS$326,34,FALSE),0)</f>
        <v>-10775.273079999999</v>
      </c>
      <c r="G7" s="177" t="e">
        <f>IF($E7&gt;0,0,ROUND($F7*G$1/30,2))</f>
        <v>#REF!</v>
      </c>
      <c r="H7" s="183">
        <f>_xlfn.IFNA(VLOOKUP(I$4,'Escala Docente'!$C$8:$AS$326,34,FALSE),0)</f>
        <v>-7439.0668000000005</v>
      </c>
      <c r="I7" s="177" t="e">
        <f>IF($E7&gt;0,0,ROUND($H7*I$1/30,2))</f>
        <v>#REF!</v>
      </c>
      <c r="J7" s="183">
        <f>_xlfn.IFNA(VLOOKUP(K$4,'Escala Docente'!$C$8:$AS$326,34,FALSE),0)</f>
        <v>0</v>
      </c>
      <c r="K7" s="177" t="e">
        <f>IF($E7&gt;0,0,ROUND($J7*K$1/30,2))</f>
        <v>#REF!</v>
      </c>
    </row>
    <row r="8" spans="1:11" ht="12.75" customHeight="1" x14ac:dyDescent="0.2">
      <c r="A8" t="s">
        <v>607</v>
      </c>
      <c r="C8" s="8" t="e">
        <f>Valores!#REF!</f>
        <v>#REF!</v>
      </c>
      <c r="D8" s="183">
        <f>_xlfn.IFNA(VLOOKUP(E$4,'Escala Docente'!$C$8:$AS$326,24,FALSE),0)</f>
        <v>0</v>
      </c>
      <c r="E8" s="177" t="e">
        <f>IF((ROUND(D8*E$1/30,2)+(ROUND(F8*$G$1/30,2))+ROUND(H8*$I$1/30,2)+ROUND(J8*$K$1/30,2))&gt;C8,C8,(ROUND(D8*E$1/30,2)+ROUND(F8*$G$1/30,2)+ROUND(H8*$I$1/30,2)+ROUND(J8*$K$1/30,2)))</f>
        <v>#REF!</v>
      </c>
      <c r="F8" s="183">
        <f>_xlfn.IFNA(VLOOKUP(G$4,'Escala Docente'!$C$8:$AS$326,24,FALSE),0)</f>
        <v>0</v>
      </c>
      <c r="G8" s="177" t="e">
        <f>IF($E8&gt;0,0,ROUND($F8*G$1/30,2))</f>
        <v>#REF!</v>
      </c>
      <c r="H8" s="183">
        <f>_xlfn.IFNA(VLOOKUP(I$4,'Escala Docente'!$C$8:$AS$326,24,FALSE),0)</f>
        <v>0</v>
      </c>
      <c r="I8" s="177" t="e">
        <f>IF($E8&gt;0,0,ROUND($H8*I$1/30,2))</f>
        <v>#REF!</v>
      </c>
      <c r="J8" s="183">
        <f>_xlfn.IFNA(VLOOKUP(K$4,'Escala Docente'!$C$8:$AS$326,24,FALSE),0)</f>
        <v>0</v>
      </c>
      <c r="K8" s="177" t="e">
        <f>IF($E8&gt;0,0,ROUND($J8*K$1/30,2))</f>
        <v>#REF!</v>
      </c>
    </row>
    <row r="9" spans="1:11" ht="12.75" customHeight="1" x14ac:dyDescent="0.2">
      <c r="A9" t="s">
        <v>608</v>
      </c>
      <c r="C9" s="8">
        <v>0</v>
      </c>
      <c r="D9" s="183">
        <f>_xlfn.IFNA(VLOOKUP(E$4,'Escala Docente'!$C$8:$AS$326,13,FALSE),0)</f>
        <v>19954.11</v>
      </c>
      <c r="E9" s="177">
        <f>ROUND(D9*E$1/30,2)</f>
        <v>19954.11</v>
      </c>
      <c r="F9" s="183">
        <f>_xlfn.IFNA(VLOOKUP(G$4,'Escala Docente'!$C$8:$AS$326,13,FALSE),0)</f>
        <v>198577.36</v>
      </c>
      <c r="G9" s="177">
        <f>ROUND(F9*G$1/30,2)</f>
        <v>198577.36</v>
      </c>
      <c r="H9" s="183">
        <f>_xlfn.IFNA(VLOOKUP(I$4,'Escala Docente'!$C$8:$AS$326,13,FALSE),0)</f>
        <v>0</v>
      </c>
      <c r="I9" s="177">
        <f>ROUND(H9*I$1/30,2)</f>
        <v>0</v>
      </c>
      <c r="J9" s="183">
        <f>_xlfn.IFNA(VLOOKUP(K$4,'Escala Docente'!$C$8:$AS$326,13,FALSE),0)</f>
        <v>0</v>
      </c>
      <c r="K9" s="177">
        <f>ROUND(J9*K$1/30,2)</f>
        <v>0</v>
      </c>
    </row>
    <row r="10" spans="1:11" ht="12.75" customHeight="1" x14ac:dyDescent="0.2">
      <c r="A10" t="s">
        <v>609</v>
      </c>
      <c r="C10" s="8">
        <f>IF('Escala Docente'!$F$4="NO",Valores!F25,Valores!F25/2)</f>
        <v>48169.84</v>
      </c>
      <c r="D10" s="183">
        <f>_xlfn.IFNA(VLOOKUP(E$4,'Escala Docente'!$C$8:$AS$326,16,FALSE),0)</f>
        <v>3129.42</v>
      </c>
      <c r="E10" s="177">
        <f>IF((ROUND(D10*E$1/30,2)+(ROUND(F10*$G$1/30,2))+ROUND(H10*$I$1/30,2)+ROUND(J10*$K$1/30,2))&gt;C10,C10,(ROUND(D10*E$1/30,2)+ROUND(F10*$G$1/30,2)+ROUND(H10*$I$1/30,2)+ROUND(J10*$K$1/30,2)))</f>
        <v>48169.84</v>
      </c>
      <c r="F10" s="183">
        <f>_xlfn.IFNA(VLOOKUP(G$4,'Escala Docente'!$C$8:$AS$326,16,FALSE),0)</f>
        <v>46521.33</v>
      </c>
      <c r="G10" s="177">
        <f>IF($E10&gt;0,0,ROUND($F10*G$1/30,2))</f>
        <v>0</v>
      </c>
      <c r="H10" s="183">
        <f>_xlfn.IFNA(VLOOKUP(I$4,'Escala Docente'!$C$8:$AS$326,16,FALSE),0)</f>
        <v>0</v>
      </c>
      <c r="I10" s="177">
        <f>IF($E10&gt;0,0,ROUND($H10*I$1/30,2))</f>
        <v>0</v>
      </c>
      <c r="J10" s="183">
        <f>_xlfn.IFNA(VLOOKUP(K$4,'Escala Docente'!$C$8:$AS$326,16,FALSE),0)</f>
        <v>0</v>
      </c>
      <c r="K10" s="177">
        <f>IF($E10&gt;0,0,ROUND($J10*K$1/30,2))</f>
        <v>0</v>
      </c>
    </row>
    <row r="11" spans="1:11" x14ac:dyDescent="0.2">
      <c r="A11" t="s">
        <v>610</v>
      </c>
      <c r="C11" s="8" t="e">
        <f>Valores!#REF!</f>
        <v>#REF!</v>
      </c>
      <c r="D11" s="183">
        <f>_xlfn.IFNA(VLOOKUP(E$4,'Escala Docente'!$C$8:$AS$326,27,FALSE),0)</f>
        <v>4675.55</v>
      </c>
      <c r="E11" s="177">
        <f>ROUND(D11*E$1/30,2)</f>
        <v>4675.55</v>
      </c>
      <c r="F11" s="183">
        <f>_xlfn.IFNA(VLOOKUP(G$4,'Escala Docente'!$C$8:$AS$326,27,FALSE),0)</f>
        <v>23377.77</v>
      </c>
      <c r="G11" s="177" t="e">
        <f>IF(E11&gt;=C11,0,IF((F11*G$1/30)&gt;(E11-C11),F11*G$1/30,E11-C11))</f>
        <v>#REF!</v>
      </c>
      <c r="H11" s="183">
        <f>_xlfn.IFNA(VLOOKUP(I$4,'Escala Docente'!$C$8:$AS$326,27,FALSE),0)</f>
        <v>0</v>
      </c>
      <c r="I11" s="177" t="e">
        <f>IF(E11+G11&gt;=C11,0,IF((H11*G$1/30)&gt;(E11+G11-C11),H11*G$1/30,E11+G1-C11))</f>
        <v>#REF!</v>
      </c>
      <c r="J11" s="183">
        <f>_xlfn.IFNA(VLOOKUP(K$4,'Escala Docente'!$C$8:$AS$326,27,FALSE),0)</f>
        <v>0</v>
      </c>
      <c r="K11" s="177" t="e">
        <f>IF(E11+G11+H11&gt;=C11,0,IF((J11*G$1/30)&gt;(E11+G11+H11-C11),J11*G$1/30,E11+G1+H11-C11))</f>
        <v>#REF!</v>
      </c>
    </row>
    <row r="12" spans="1:11" ht="12.75" customHeight="1" x14ac:dyDescent="0.2">
      <c r="A12" t="s">
        <v>611</v>
      </c>
      <c r="C12" s="8">
        <v>0</v>
      </c>
      <c r="D12" s="183">
        <f>_xlfn.IFNA(VLOOKUP(E$4,'Escala Docente'!$C$8:$AS$326,6,FALSE),0)</f>
        <v>0</v>
      </c>
      <c r="E12" s="177">
        <f>ROUND(D12*E$1/30,2)</f>
        <v>0</v>
      </c>
      <c r="F12" s="183">
        <f>_xlfn.IFNA(VLOOKUP(G$4,'Escala Docente'!$C$8:$AS$326,6,FALSE),0)</f>
        <v>0</v>
      </c>
      <c r="G12" s="177">
        <f>ROUND(F12*G$1/30,2)</f>
        <v>0</v>
      </c>
      <c r="H12" s="183">
        <f>_xlfn.IFNA(VLOOKUP(I$4,'Escala Docente'!$C$8:$AS$326,6,FALSE),0)</f>
        <v>0</v>
      </c>
      <c r="I12" s="177">
        <f>ROUND(H12*I$1/30,2)</f>
        <v>0</v>
      </c>
      <c r="J12" s="183">
        <f>_xlfn.IFNA(VLOOKUP(K$4,'Escala Docente'!$C$8:$AS$326,6,FALSE),0)</f>
        <v>0</v>
      </c>
      <c r="K12" s="177">
        <f>ROUND(J12*K$1/30,2)</f>
        <v>0</v>
      </c>
    </row>
    <row r="13" spans="1:11" ht="12.75" customHeight="1" x14ac:dyDescent="0.2">
      <c r="A13" t="s">
        <v>623</v>
      </c>
      <c r="C13" s="8">
        <v>0</v>
      </c>
      <c r="D13" s="183">
        <f>_xlfn.IFNA(VLOOKUP(E$4,'Escala Docente'!$C$8:$AS$326,15,FALSE),0)</f>
        <v>5241.12</v>
      </c>
      <c r="E13" s="177">
        <f>ROUND(D13*E$1/30,2)</f>
        <v>5241.12</v>
      </c>
      <c r="F13" s="183">
        <f>_xlfn.IFNA(VLOOKUP(G$4,'Escala Docente'!$C$8:$AS$326,15,FALSE),0)</f>
        <v>32774.300000000003</v>
      </c>
      <c r="G13" s="177">
        <f>ROUND(F13*G$1/30,2)</f>
        <v>32774.300000000003</v>
      </c>
      <c r="H13" s="183">
        <f>_xlfn.IFNA(VLOOKUP(I$4,'Escala Docente'!$C$8:$AS$326,15,FALSE),0)</f>
        <v>27952.639999999999</v>
      </c>
      <c r="I13" s="177">
        <f>ROUND(H13*I$1/30,2)</f>
        <v>27952.639999999999</v>
      </c>
      <c r="J13" s="183">
        <f>_xlfn.IFNA(VLOOKUP(K$4,'Escala Docente'!$C$8:$AS$326,15,FALSE),0)</f>
        <v>0</v>
      </c>
      <c r="K13" s="177">
        <f>ROUND(J13*K$1/30,2)</f>
        <v>0</v>
      </c>
    </row>
    <row r="14" spans="1:11" ht="12.75" customHeight="1" x14ac:dyDescent="0.2">
      <c r="A14" t="s">
        <v>612</v>
      </c>
      <c r="C14" s="8">
        <v>0</v>
      </c>
      <c r="D14" s="183">
        <f>_xlfn.IFNA(VLOOKUP(E$4,'Escala Docente'!$C$8:$AS$326,8,FALSE),0)</f>
        <v>0</v>
      </c>
      <c r="E14" s="177">
        <f>ROUND(D14*E$1/30,2)</f>
        <v>0</v>
      </c>
      <c r="F14" s="183">
        <f>_xlfn.IFNA(VLOOKUP(G$4,'Escala Docente'!$C$8:$AS$326,8,FALSE),0)</f>
        <v>0</v>
      </c>
      <c r="G14" s="177">
        <f>ROUND(F14*G$1/30,2)</f>
        <v>0</v>
      </c>
      <c r="H14" s="183">
        <f>_xlfn.IFNA(VLOOKUP(I$4,'Escala Docente'!$C$8:$AS$326,8,FALSE),0)</f>
        <v>0</v>
      </c>
      <c r="I14" s="177">
        <f>ROUND(H14*I$1/30,2)</f>
        <v>0</v>
      </c>
      <c r="J14" s="183">
        <f>_xlfn.IFNA(VLOOKUP(K$4,'Escala Docente'!$C$8:$AS$326,8,FALSE),0)</f>
        <v>0</v>
      </c>
      <c r="K14" s="177">
        <f>ROUND(J14*K$1/30,2)</f>
        <v>0</v>
      </c>
    </row>
    <row r="15" spans="1:11" ht="12.75" customHeight="1" x14ac:dyDescent="0.2">
      <c r="A15" t="s">
        <v>613</v>
      </c>
      <c r="C15" s="8">
        <f>Valores!D5</f>
        <v>49998.43</v>
      </c>
      <c r="D15" s="183">
        <f>_xlfn.IFNA(VLOOKUP(E$4,'Escala Docente'!$C$8:$AS$326,14,FALSE),0)</f>
        <v>9999.69</v>
      </c>
      <c r="E15" s="177">
        <f>IF((ROUND(D15*E$1/30,2)+(ROUND(F15*$G$1/30,2))+ROUND(H15*$I$1/30,2)+ROUND(J15*$K$1/30,2))&gt;C15,C15,(ROUND(D15*E$1/30,2)+ROUND(F15*$G$1/30,2)+ROUND(H15*$I$1/30,2)+ROUND(J15*$K$1/30,2)))</f>
        <v>49998.43</v>
      </c>
      <c r="F15" s="183">
        <f>_xlfn.IFNA(VLOOKUP(G$4,'Escala Docente'!$C$8:$AS$326,14,FALSE),0)</f>
        <v>49998.43</v>
      </c>
      <c r="G15" s="177">
        <f>IF($E15&gt;0,0,ROUND($F15*G$1/30,2))</f>
        <v>0</v>
      </c>
      <c r="H15" s="183">
        <f>_xlfn.IFNA(VLOOKUP(I$4,'Escala Docente'!$C$8:$AS$326,14,FALSE),0)</f>
        <v>0</v>
      </c>
      <c r="I15" s="177">
        <f>IF($E15&gt;0,0,ROUND($H15*I$1/30,2))</f>
        <v>0</v>
      </c>
      <c r="J15" s="183">
        <f>_xlfn.IFNA(VLOOKUP(K$4,'Escala Docente'!$C$8:$AS$326,14,FALSE),0)</f>
        <v>0</v>
      </c>
      <c r="K15" s="177">
        <f>IF($E15&gt;0,0,ROUND($J15*K$1/30,2))</f>
        <v>0</v>
      </c>
    </row>
    <row r="16" spans="1:11" x14ac:dyDescent="0.2">
      <c r="A16" t="s">
        <v>614</v>
      </c>
      <c r="C16" s="8" t="e">
        <f>Valores!#REF!</f>
        <v>#REF!</v>
      </c>
      <c r="D16" s="183">
        <f>_xlfn.IFNA(VLOOKUP(E$4,'Escala Docente'!$C$8:$AS$326,25,FALSE),0)</f>
        <v>0</v>
      </c>
      <c r="E16" s="177">
        <f>ROUND(D16*E$1/30,2)</f>
        <v>0</v>
      </c>
      <c r="F16" s="183">
        <f>_xlfn.IFNA(VLOOKUP(G$4,'Escala Docente'!$C$8:$AS$326,25,FALSE),0)</f>
        <v>0</v>
      </c>
      <c r="G16" s="177" t="e">
        <f>IF(E16&gt;=C16,0,IF((F16*G$1/30)&gt;(E16-C16),F16*G$1/30,E16-C16))</f>
        <v>#REF!</v>
      </c>
      <c r="H16" s="183">
        <f>_xlfn.IFNA(VLOOKUP(I$4,'Escala Docente'!$C$8:$AS$326,25,FALSE),0)</f>
        <v>0</v>
      </c>
      <c r="I16" s="177" t="e">
        <f>IF(E16+G16&gt;=C16,0,IF((H16*G$1/30)&gt;(E16+G16-C16),H16*G$1/30,E16+G6-C16))</f>
        <v>#REF!</v>
      </c>
      <c r="J16" s="183">
        <f>_xlfn.IFNA(VLOOKUP(K$4,'Escala Docente'!$C$8:$AS$326,25,FALSE),0)</f>
        <v>0</v>
      </c>
      <c r="K16" s="177" t="e">
        <f>IF(E16+G16+H16&gt;=C16,0,IF((J16*G$1/30)&gt;(E16+G16+H16-C16),J16*G$1/30,E16+G6+H16-C16))</f>
        <v>#REF!</v>
      </c>
    </row>
    <row r="17" spans="1:11" ht="12.75" customHeight="1" x14ac:dyDescent="0.2">
      <c r="A17" t="s">
        <v>627</v>
      </c>
      <c r="C17" s="8">
        <v>0</v>
      </c>
      <c r="D17" s="183">
        <f>_xlfn.IFNA(VLOOKUP(E$4,'Escala Docente'!$C$8:$AS$326,22,FALSE),0)</f>
        <v>0</v>
      </c>
      <c r="E17" s="177">
        <f>ROUND(D17*E$1/30,2)</f>
        <v>0</v>
      </c>
      <c r="F17" s="183">
        <f>_xlfn.IFNA(VLOOKUP(G$4,'Escala Docente'!$C$8:$AS$326,22,FALSE),0)</f>
        <v>0</v>
      </c>
      <c r="G17" s="177">
        <f>ROUND(F17*G$1/30,2)</f>
        <v>0</v>
      </c>
      <c r="H17" s="183">
        <f>_xlfn.IFNA(VLOOKUP(I$4,'Escala Docente'!$C$8:$AS$326,22,FALSE),0)</f>
        <v>0</v>
      </c>
      <c r="I17" s="177">
        <f>ROUND(H17*I$1/30,2)</f>
        <v>0</v>
      </c>
      <c r="J17" s="183">
        <f>_xlfn.IFNA(VLOOKUP(K$4,'Escala Docente'!$C$8:$AS$326,22,FALSE),0)</f>
        <v>0</v>
      </c>
      <c r="K17" s="177">
        <f>ROUND(J17*K$1/30,2)</f>
        <v>0</v>
      </c>
    </row>
    <row r="18" spans="1:11" ht="12.75" customHeight="1" x14ac:dyDescent="0.2">
      <c r="A18" t="s">
        <v>626</v>
      </c>
      <c r="C18" s="8">
        <v>0</v>
      </c>
      <c r="D18" s="183">
        <f>_xlfn.IFNA(VLOOKUP(E$4,'Escala Docente'!$C$8:$AS$326,10,FALSE),0)</f>
        <v>0</v>
      </c>
      <c r="E18" s="177">
        <f>ROUND(D18*E$1/30,2)</f>
        <v>0</v>
      </c>
      <c r="F18" s="183">
        <f>_xlfn.IFNA(VLOOKUP(G$4,'Escala Docente'!$C$8:$AS$326,10,FALSE),0)</f>
        <v>0</v>
      </c>
      <c r="G18" s="177">
        <f>ROUND(F18*G$1/30,2)</f>
        <v>0</v>
      </c>
      <c r="H18" s="183">
        <f>_xlfn.IFNA(VLOOKUP(I$4,'Escala Docente'!$C$8:$AS$326,10,FALSE),0)</f>
        <v>0</v>
      </c>
      <c r="I18" s="177">
        <f>ROUND(H18*I$1/30,2)</f>
        <v>0</v>
      </c>
      <c r="J18" s="183">
        <f>_xlfn.IFNA(VLOOKUP(K$4,'Escala Docente'!$C$8:$AS$326,10,FALSE),0)</f>
        <v>0</v>
      </c>
      <c r="K18" s="177">
        <f>ROUND(J18*K$1/30,2)</f>
        <v>0</v>
      </c>
    </row>
    <row r="19" spans="1:11" ht="12.75" customHeight="1" x14ac:dyDescent="0.2">
      <c r="A19" s="94" t="s">
        <v>615</v>
      </c>
      <c r="B19" s="94"/>
      <c r="C19" s="8">
        <v>0</v>
      </c>
      <c r="D19" s="183">
        <f>_xlfn.IFNA(VLOOKUP(E$4,'Escala Docente'!$C$8:$AS$326,12,FALSE),0)</f>
        <v>0</v>
      </c>
      <c r="E19" s="177">
        <f>ROUND(E6+E12+E18+E10+E17,2)*'Escala Docente'!$H$2</f>
        <v>0</v>
      </c>
      <c r="F19" s="183">
        <f>_xlfn.IFNA(VLOOKUP(G$4,'Escala Docente'!$C$8:$AS$326,12,FALSE),0)</f>
        <v>0</v>
      </c>
      <c r="G19" s="177">
        <f>ROUND(G6+G12+G18+G10+G17,2)*'Escala Docente'!$H$2</f>
        <v>0</v>
      </c>
      <c r="H19" s="183">
        <f>_xlfn.IFNA(VLOOKUP(I$4,'Escala Docente'!$C$8:$AS$326,12,FALSE),0)</f>
        <v>0</v>
      </c>
      <c r="I19" s="177">
        <f>ROUND(I6+I12+I18+I10+I17,2)*'Escala Docente'!$H$2</f>
        <v>0</v>
      </c>
      <c r="J19" s="183">
        <f>_xlfn.IFNA(VLOOKUP(K$4,'Escala Docente'!$C$8:$AS$326,12,FALSE),0)</f>
        <v>0</v>
      </c>
      <c r="K19" s="177">
        <f>ROUND(K6+K12+K18+K10+K17,2)*'Escala Docente'!$H$2</f>
        <v>0</v>
      </c>
    </row>
    <row r="20" spans="1:11" ht="12.75" customHeight="1" x14ac:dyDescent="0.2">
      <c r="A20" t="s">
        <v>622</v>
      </c>
      <c r="C20" s="8">
        <v>0</v>
      </c>
      <c r="D20" s="183">
        <f>_xlfn.IFNA(VLOOKUP(E$4,'Escala Docente'!$C$8:$AS$326,29,FALSE),0)</f>
        <v>81474.305000000008</v>
      </c>
      <c r="E20" s="177">
        <f>ROUND(D20*E$1/30,2)</f>
        <v>81474.31</v>
      </c>
      <c r="F20" s="183">
        <f>_xlfn.IFNA(VLOOKUP(G$4,'Escala Docente'!$C$8:$AS$326,29,FALSE),0)</f>
        <v>538763.65399999998</v>
      </c>
      <c r="G20" s="177">
        <f>ROUND(F20*G$1/30,2)</f>
        <v>538763.65</v>
      </c>
      <c r="H20" s="183">
        <f>_xlfn.IFNA(VLOOKUP(I$4,'Escala Docente'!$C$8:$AS$326,29,FALSE),0)</f>
        <v>371953.34</v>
      </c>
      <c r="I20" s="177">
        <f>ROUND(H20*I$1/30,2)</f>
        <v>371953.34</v>
      </c>
      <c r="J20" s="183">
        <f>_xlfn.IFNA(VLOOKUP(K$4,'Escala Docente'!$C$8:$AS$326,29,FALSE),0)</f>
        <v>0</v>
      </c>
      <c r="K20" s="177">
        <f>ROUND(J20*K$1/30,2)</f>
        <v>0</v>
      </c>
    </row>
    <row r="21" spans="1:11" ht="12.75" customHeight="1" x14ac:dyDescent="0.2">
      <c r="A21" t="s">
        <v>616</v>
      </c>
      <c r="C21" s="8">
        <v>0</v>
      </c>
      <c r="D21" s="183">
        <f>_xlfn.IFNA(VLOOKUP(E$4,'Escala Docente'!$C$8:$AS$326,18,FALSE),0)</f>
        <v>0</v>
      </c>
      <c r="E21" s="177">
        <f>ROUND(D21*E$1/30,2)</f>
        <v>0</v>
      </c>
      <c r="F21" s="183">
        <f>_xlfn.IFNA(VLOOKUP(G$4,'Escala Docente'!$C$8:$AS$326,18,FALSE),0)</f>
        <v>0</v>
      </c>
      <c r="G21" s="177">
        <f>ROUND(F21*G$1/30,2)</f>
        <v>0</v>
      </c>
      <c r="H21" s="183">
        <f>_xlfn.IFNA(VLOOKUP(I$4,'Escala Docente'!$C$8:$AS$326,18,FALSE),0)</f>
        <v>0</v>
      </c>
      <c r="I21" s="177">
        <f>ROUND(H21*I$1/30,2)</f>
        <v>0</v>
      </c>
      <c r="J21" s="183">
        <f>_xlfn.IFNA(VLOOKUP(K$4,'Escala Docente'!$C$8:$AS$326,18,FALSE),0)</f>
        <v>0</v>
      </c>
      <c r="K21" s="177">
        <f>ROUND(J21*K$1/30,2)</f>
        <v>0</v>
      </c>
    </row>
    <row r="22" spans="1:11" ht="12.75" customHeight="1" x14ac:dyDescent="0.2">
      <c r="A22" s="94" t="s">
        <v>620</v>
      </c>
      <c r="B22" s="94"/>
      <c r="C22" s="8">
        <v>0</v>
      </c>
      <c r="D22" s="183">
        <f>_xlfn.IFNA(VLOOKUP(E$4,'Escala Docente'!$C$8:$AS$326,26,FALSE),0)</f>
        <v>0</v>
      </c>
      <c r="E22" s="177">
        <f>ROUND(D22*E$1/30,2)</f>
        <v>0</v>
      </c>
      <c r="F22" s="183">
        <f>_xlfn.IFNA(VLOOKUP(G$4,'Escala Docente'!$C$8:$AS$326,26,FALSE),0)</f>
        <v>0</v>
      </c>
      <c r="G22" s="177">
        <f>ROUND(F22*G$1/30,2)</f>
        <v>0</v>
      </c>
      <c r="H22" s="183">
        <f>_xlfn.IFNA(VLOOKUP(I$4,'Escala Docente'!$C$8:$AS$326,26,FALSE),0)</f>
        <v>0</v>
      </c>
      <c r="I22" s="177">
        <f>ROUND(H22*I$1/30,2)</f>
        <v>0</v>
      </c>
      <c r="J22" s="183">
        <f>_xlfn.IFNA(VLOOKUP(K$4,'Escala Docente'!$C$8:$AS$326,26,FALSE),0)</f>
        <v>0</v>
      </c>
      <c r="K22" s="177">
        <f>ROUND(J22*K$1/30,2)</f>
        <v>0</v>
      </c>
    </row>
    <row r="23" spans="1:11" ht="12.75" customHeight="1" x14ac:dyDescent="0.2">
      <c r="A23" t="s">
        <v>625</v>
      </c>
      <c r="C23" s="8">
        <v>0</v>
      </c>
      <c r="D23" s="183">
        <f>_xlfn.IFNA(VLOOKUP(E$4,'Escala Docente'!$C$8:$AS$326,23,FALSE),0)</f>
        <v>0</v>
      </c>
      <c r="E23" s="177">
        <f>ROUND(D23*E$1/30,2)</f>
        <v>0</v>
      </c>
      <c r="F23" s="183">
        <f>_xlfn.IFNA(VLOOKUP(G$4,'Escala Docente'!$C$8:$AS$326,23,FALSE),0)</f>
        <v>0</v>
      </c>
      <c r="G23" s="177">
        <f>ROUND(F23*G$1/30,2)</f>
        <v>0</v>
      </c>
      <c r="H23" s="183">
        <f>_xlfn.IFNA(VLOOKUP(I$4,'Escala Docente'!$C$8:$AS$326,23,FALSE),0)</f>
        <v>0</v>
      </c>
      <c r="I23" s="177">
        <f>ROUND(H23*I$1/30,2)</f>
        <v>0</v>
      </c>
      <c r="J23" s="183">
        <f>_xlfn.IFNA(VLOOKUP(K$4,'Escala Docente'!$C$8:$AS$326,23,FALSE),0)</f>
        <v>0</v>
      </c>
      <c r="K23" s="177">
        <f>ROUND(J23*K$1/30,2)</f>
        <v>0</v>
      </c>
    </row>
    <row r="24" spans="1:11" ht="12.75" customHeight="1" x14ac:dyDescent="0.2">
      <c r="A24" s="73" t="s">
        <v>635</v>
      </c>
      <c r="C24" s="8">
        <f>Valores!F17</f>
        <v>0</v>
      </c>
      <c r="D24" s="183">
        <f>_xlfn.IFNA(VLOOKUP(E$4,'Escala Docente'!$C$8:$AS$326,35,FALSE),0)</f>
        <v>-4481.0867750000007</v>
      </c>
      <c r="E24" s="177">
        <f>ROUND(D24*E$1/30,2)</f>
        <v>-4481.09</v>
      </c>
      <c r="F24" s="183">
        <f>_xlfn.IFNA(VLOOKUP(G$4,'Escala Docente'!$C$8:$AS$326,35,FALSE),0)</f>
        <v>-29632.000969999997</v>
      </c>
      <c r="G24" s="177">
        <f>ROUND(F24*G$1/30,2)</f>
        <v>-29632</v>
      </c>
      <c r="H24" s="183">
        <f>_xlfn.IFNA(VLOOKUP(I$4,'Escala Docente'!$C$8:$AS$326,35,FALSE),0)</f>
        <v>-20457.433700000001</v>
      </c>
      <c r="I24" s="177">
        <f>ROUND(H24*I$1/30,2)</f>
        <v>-20457.43</v>
      </c>
      <c r="J24" s="183">
        <f>_xlfn.IFNA(VLOOKUP(K$4,'Escala Docente'!$C$8:$AS$326,35,FALSE),0)</f>
        <v>0</v>
      </c>
      <c r="K24" s="177">
        <f>ROUND(J24*K$1/30,2)</f>
        <v>0</v>
      </c>
    </row>
    <row r="25" spans="1:11" ht="12.75" customHeight="1" x14ac:dyDescent="0.2">
      <c r="A25" t="s">
        <v>617</v>
      </c>
      <c r="C25" s="8">
        <f>IF('Escala Docente'!$F$4="NO",Valores!F32,Valores!F32/2)</f>
        <v>46755.520000000004</v>
      </c>
      <c r="D25" s="183">
        <f>_xlfn.IFNA(VLOOKUP(E$4,'Escala Docente'!$C$8:$AS$326,30,FALSE),0)</f>
        <v>7285.6</v>
      </c>
      <c r="E25" s="177">
        <f>IF((ROUND(D25*E$1/30,2)+(ROUND(F25*$G$1/30,2))+ROUND(H25*$I$1/30,2)+ROUND(J25*$K$1/30,2))&gt;C25,C25,(ROUND(D25*E$1/30,2)+ROUND(F25*$G$1/30,2)+ROUND(H25*$I$1/30,2)+ROUND(J25*$K$1/30,2)))</f>
        <v>43713.599999999999</v>
      </c>
      <c r="F25" s="183">
        <f>_xlfn.IFNA(VLOOKUP(G$4,'Escala Docente'!$C$8:$AS$326,30,FALSE),0)</f>
        <v>36428</v>
      </c>
      <c r="G25" s="177">
        <f>IF($E25&gt;0,0,ROUND($F25*G$1/30,2))</f>
        <v>0</v>
      </c>
      <c r="H25" s="183">
        <f>_xlfn.IFNA(VLOOKUP(I$4,'Escala Docente'!$C$8:$AS$326,30,FALSE),0)</f>
        <v>0</v>
      </c>
      <c r="I25" s="177">
        <f>IF($E25&gt;0,0,ROUND($H25*I$1/30,2))</f>
        <v>0</v>
      </c>
      <c r="J25" s="183">
        <f>_xlfn.IFNA(VLOOKUP(K$4,'Escala Docente'!$C$8:$AS$326,30,FALSE),0)</f>
        <v>0</v>
      </c>
      <c r="K25" s="177">
        <f>IF($E25&gt;0,0,ROUND($J25*K$1/30,2))</f>
        <v>0</v>
      </c>
    </row>
    <row r="26" spans="1:11" ht="12.75" customHeight="1" x14ac:dyDescent="0.2">
      <c r="A26" t="s">
        <v>618</v>
      </c>
      <c r="C26" s="8">
        <f>Valores!F13</f>
        <v>72856</v>
      </c>
      <c r="D26" s="183">
        <f>_xlfn.IFNA(VLOOKUP(E$4,'Escala Docente'!$C$8:$AS$326,33,FALSE),0)</f>
        <v>-8962.1735500000013</v>
      </c>
      <c r="E26" s="177">
        <f>IF((ROUND(D26*E$1/30,2)+(ROUND(F26*$G$1/30,2))+ROUND(H26*$I$1/30,2)+ROUND(J26*$K$1/30,2))&gt;C26,C26,(ROUND(D26*E$1/30,2)+ROUND(F26*$G$1/30,2)+ROUND(H26*$I$1/30,2)+ROUND(J26*$K$1/30,2)))</f>
        <v>-109141.04000000001</v>
      </c>
      <c r="F26" s="183">
        <f>_xlfn.IFNA(VLOOKUP(G$4,'Escala Docente'!$C$8:$AS$326,33,FALSE),0)</f>
        <v>-59264.001939999995</v>
      </c>
      <c r="G26" s="177">
        <f>IF($E26&gt;0,0,ROUND($F26*G$1/30,2))</f>
        <v>-59264</v>
      </c>
      <c r="H26" s="183">
        <f>_xlfn.IFNA(VLOOKUP(I$4,'Escala Docente'!$C$8:$AS$326,33,FALSE),0)</f>
        <v>-40914.867400000003</v>
      </c>
      <c r="I26" s="177">
        <f>IF($E26&gt;0,0,ROUND($H26*I$1/30,2))</f>
        <v>-40914.870000000003</v>
      </c>
      <c r="J26" s="183">
        <f>_xlfn.IFNA(VLOOKUP(K$4,'Escala Docente'!$C$8:$AS$326,33,FALSE),0)</f>
        <v>0</v>
      </c>
      <c r="K26" s="177">
        <f>IF($E26&gt;0,0,ROUND($J26*K$1/30,2))</f>
        <v>0</v>
      </c>
    </row>
    <row r="27" spans="1:11" ht="12.75" customHeight="1" x14ac:dyDescent="0.2">
      <c r="A27" t="s">
        <v>619</v>
      </c>
      <c r="C27" s="8" t="e">
        <f>IF('Escala Docente'!$F$4="NO",Valores!#REF!,Valores!#REF!/2)</f>
        <v>#REF!</v>
      </c>
      <c r="D27" s="183">
        <f>_xlfn.IFNA(VLOOKUP(E$4,'Escala Docente'!$C$8:$AS$326,31,FALSE),0)</f>
        <v>3750</v>
      </c>
      <c r="E27" s="177" t="e">
        <f>IF((ROUND(D27*E$1/30,2)+(ROUND(F27*$G$1/30,2))+ROUND(H27*$I$1/30,2)+ROUND(J27*$K$1/30,2))&gt;C27,C27,(ROUND(D27*E$1/30,2)+ROUND(F27*$G$1/30,2)+ROUND(H27*$I$1/30,2)+ROUND(J27*$K$1/30,2)))</f>
        <v>#REF!</v>
      </c>
      <c r="F27" s="183">
        <f>_xlfn.IFNA(VLOOKUP(G$4,'Escala Docente'!$C$8:$AS$326,31,FALSE),0)</f>
        <v>25000</v>
      </c>
      <c r="G27" s="177" t="e">
        <f>IF($E27&gt;0,0,ROUND($F27*G$1/30,2))</f>
        <v>#REF!</v>
      </c>
      <c r="H27" s="183">
        <f>_xlfn.IFNA(VLOOKUP(I$4,'Escala Docente'!$C$8:$AS$326,31,FALSE),0)</f>
        <v>0</v>
      </c>
      <c r="I27" s="177" t="e">
        <f>IF($E27&gt;0,0,ROUND($H27*I$1/30,2))</f>
        <v>#REF!</v>
      </c>
      <c r="J27" s="183">
        <f>_xlfn.IFNA(VLOOKUP(K$4,'Escala Docente'!$C$8:$AS$326,31,FALSE),0)</f>
        <v>0</v>
      </c>
      <c r="K27" s="177" t="e">
        <f>IF($E27&gt;0,0,ROUND($J27*K$1/30,2))</f>
        <v>#REF!</v>
      </c>
    </row>
    <row r="28" spans="1:11" x14ac:dyDescent="0.2">
      <c r="A28" t="s">
        <v>621</v>
      </c>
      <c r="C28" s="8" t="e">
        <f>Valores!#REF!</f>
        <v>#REF!</v>
      </c>
      <c r="D28" s="183">
        <f>_xlfn.IFNA(VLOOKUP(E$4,'Escala Docente'!$C$8:$AS$326,36,FALSE),0)</f>
        <v>-1270.1600000000001</v>
      </c>
      <c r="E28" s="177">
        <f>ROUND(D28*E$1/30,2)</f>
        <v>-1270.1600000000001</v>
      </c>
      <c r="F28" s="183">
        <f>_xlfn.IFNA(VLOOKUP(G$4,'Escala Docente'!$C$8:$AS$326,36,FALSE),0)</f>
        <v>-1270.1600000000001</v>
      </c>
      <c r="G28" s="177" t="e">
        <f>IF(E28&gt;=C28,0,IF((F28*G$1/30)&gt;(E28-C28),F28*G$1/30,E28-C28))</f>
        <v>#REF!</v>
      </c>
      <c r="H28" s="183">
        <f>_xlfn.IFNA(VLOOKUP(I$4,'Escala Docente'!$C$8:$AS$326,36,FALSE),0)</f>
        <v>0</v>
      </c>
      <c r="I28" s="177" t="e">
        <f>IF(E28+G28&gt;=C28,0,IF((H28*G$1/30)&gt;(E28+G28-C28),H28*G$1/30,E28+G18-C28))</f>
        <v>#REF!</v>
      </c>
      <c r="J28" s="183">
        <f>_xlfn.IFNA(VLOOKUP(K$4,'Escala Docente'!$C$8:$AS$326,36,FALSE),0)</f>
        <v>0</v>
      </c>
      <c r="K28" s="177" t="e">
        <f>IF(E28+G28+H28&gt;=C28,0,IF((J28*G$1/30)&gt;(E28+G28+H28-C28),J28*G$1/30,E28+G18+H28-C28))</f>
        <v>#REF!</v>
      </c>
    </row>
    <row r="29" spans="1:11" ht="12.75" customHeight="1" x14ac:dyDescent="0.2">
      <c r="A29" t="s">
        <v>624</v>
      </c>
      <c r="C29" s="8">
        <v>0</v>
      </c>
      <c r="D29" s="183">
        <f>_xlfn.IFNA(VLOOKUP(E$4,'Escala Docente'!$C$8:$AS$326,11,FALSE),0)</f>
        <v>7887.64</v>
      </c>
      <c r="E29" s="184">
        <f>ROUND(IF('Escala Docente'!$H$2=0,IF(AND(MID(E$3,1,5)&lt;&gt;"13930",MID(E$3,1,5)&lt;&gt;"13940"),(SUM(E6+E12+E14+E18+E10+E17+E21)*Valores!$C$4),0),0),2)</f>
        <v>17837.47</v>
      </c>
      <c r="F29" s="183">
        <f>_xlfn.IFNA(VLOOKUP(G$4,'Escala Docente'!$C$8:$AS$326,11,FALSE),0)</f>
        <v>43566.32</v>
      </c>
      <c r="G29" s="184">
        <f>ROUND(IF('Escala Docente'!$H$2=0,IF(AND(MID(G$3,1,5)&lt;&gt;"13930",MID(G$3,1,5)&lt;&gt;"13940"),(SUM(G6+G12+G14+G18+G10+G17+G21)*Valores!$C$4),0),0),2)</f>
        <v>23742.41</v>
      </c>
      <c r="H29" s="183">
        <f>_xlfn.IFNA(VLOOKUP(I$4,'Escala Docente'!$C$8:$AS$326,11,FALSE),0)</f>
        <v>67627.88</v>
      </c>
      <c r="I29" s="184">
        <f>ROUND(IF('Escala Docente'!$H$2=0,IF(AND(MID(I$3,1,5)&lt;&gt;"13930",MID(I$3,1,5)&lt;&gt;"13940"),(SUM(I6+I12+I14+I18+I10+I17+I21)*Valores!$C$4),0),0),2)</f>
        <v>60639.72</v>
      </c>
      <c r="K29" s="184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4" t="str">
        <f ca="1">MID(CELL("FILENAME",L41),FIND("[",CELL("FILENAME",L41))+1,FIND("]",CELL("FILENAME",L41))-FIND("[",CELL("FILENAME",L41))-1)</f>
        <v>Esc Doc 2024 06 Cba V 1 2 JUNIO.xlsx</v>
      </c>
      <c r="B1" s="234"/>
      <c r="C1" s="234"/>
      <c r="D1" s="234"/>
      <c r="E1" s="234"/>
      <c r="F1" s="234"/>
      <c r="G1" s="234"/>
      <c r="H1" s="234"/>
      <c r="I1" s="234"/>
      <c r="J1" s="23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5" t="s">
        <v>26</v>
      </c>
      <c r="B2" s="235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6" t="s">
        <v>463</v>
      </c>
      <c r="R3" s="236"/>
      <c r="S3" s="236"/>
      <c r="T3" s="237" t="s">
        <v>464</v>
      </c>
      <c r="U3" s="237"/>
      <c r="V3" s="237"/>
      <c r="W3" s="237"/>
      <c r="Y3" s="17"/>
    </row>
    <row r="4" spans="1:33" ht="19.5" x14ac:dyDescent="0.2">
      <c r="A4" s="13"/>
      <c r="B4" s="13"/>
      <c r="C4" s="29" t="s">
        <v>465</v>
      </c>
      <c r="D4" s="30" t="s">
        <v>30</v>
      </c>
      <c r="E4" s="30" t="s">
        <v>466</v>
      </c>
      <c r="F4" s="30" t="s">
        <v>467</v>
      </c>
      <c r="G4" s="31" t="s">
        <v>31</v>
      </c>
      <c r="H4" s="32" t="s">
        <v>32</v>
      </c>
      <c r="I4" s="33" t="s">
        <v>468</v>
      </c>
      <c r="J4" s="34" t="s">
        <v>469</v>
      </c>
      <c r="K4" s="35" t="s">
        <v>468</v>
      </c>
      <c r="Q4" s="36" t="s">
        <v>470</v>
      </c>
      <c r="R4" s="37" t="s">
        <v>471</v>
      </c>
      <c r="S4" s="37" t="s">
        <v>472</v>
      </c>
      <c r="T4" s="38" t="s">
        <v>473</v>
      </c>
      <c r="U4" s="39" t="s">
        <v>474</v>
      </c>
      <c r="V4" s="39" t="s">
        <v>475</v>
      </c>
      <c r="W4" s="39" t="s">
        <v>472</v>
      </c>
      <c r="X4" s="40" t="s">
        <v>476</v>
      </c>
      <c r="Y4" s="40" t="s">
        <v>477</v>
      </c>
    </row>
    <row r="5" spans="1:33" x14ac:dyDescent="0.2">
      <c r="A5" s="14" t="s">
        <v>48</v>
      </c>
      <c r="B5" s="15" t="s">
        <v>49</v>
      </c>
      <c r="C5" s="41" t="s">
        <v>51</v>
      </c>
      <c r="D5" s="42" t="s">
        <v>54</v>
      </c>
      <c r="E5" s="42" t="s">
        <v>478</v>
      </c>
      <c r="F5" s="43"/>
      <c r="G5" s="43" t="s">
        <v>55</v>
      </c>
      <c r="H5" s="43" t="s">
        <v>56</v>
      </c>
      <c r="I5" s="44" t="s">
        <v>479</v>
      </c>
      <c r="J5" s="45" t="s">
        <v>480</v>
      </c>
      <c r="K5" s="44" t="s">
        <v>481</v>
      </c>
      <c r="L5" s="46" t="s">
        <v>482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483</v>
      </c>
      <c r="B6" s="16" t="s">
        <v>484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485</v>
      </c>
      <c r="B7" s="16" t="s">
        <v>486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465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487</v>
      </c>
      <c r="B8" s="16" t="s">
        <v>488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489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490</v>
      </c>
      <c r="B9" s="56" t="s">
        <v>491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492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493</v>
      </c>
      <c r="B10" s="56" t="s">
        <v>494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495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496</v>
      </c>
      <c r="B11" s="16" t="s">
        <v>497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498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499</v>
      </c>
      <c r="B12" s="16" t="s">
        <v>500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501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502</v>
      </c>
      <c r="B13" s="16" t="s">
        <v>503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504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505</v>
      </c>
      <c r="B14" s="16" t="s">
        <v>506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507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508</v>
      </c>
      <c r="B15" s="16" t="s">
        <v>509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510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511</v>
      </c>
      <c r="B16" s="16" t="s">
        <v>512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40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513</v>
      </c>
      <c r="B17" s="16" t="s">
        <v>514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515</v>
      </c>
      <c r="B18" s="16" t="s">
        <v>516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517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518</v>
      </c>
      <c r="B19" s="16" t="s">
        <v>519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520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521</v>
      </c>
      <c r="B20" s="16" t="s">
        <v>522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41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523</v>
      </c>
      <c r="B21" s="16" t="s">
        <v>524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523</v>
      </c>
      <c r="B22" s="16" t="s">
        <v>525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523</v>
      </c>
      <c r="B23" s="16" t="s">
        <v>526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523</v>
      </c>
      <c r="B24" s="16" t="s">
        <v>527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523</v>
      </c>
      <c r="B25" s="16" t="s">
        <v>528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523</v>
      </c>
      <c r="B26" s="16" t="s">
        <v>529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523</v>
      </c>
      <c r="B27" s="16" t="s">
        <v>530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523</v>
      </c>
      <c r="B28" s="16" t="s">
        <v>531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523</v>
      </c>
      <c r="B29" s="16" t="s">
        <v>532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523</v>
      </c>
      <c r="B30" s="16" t="s">
        <v>533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523</v>
      </c>
      <c r="B31" s="16" t="s">
        <v>534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523</v>
      </c>
      <c r="B32" s="16" t="s">
        <v>535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536</v>
      </c>
      <c r="Y34" s="17"/>
    </row>
    <row r="35" spans="1:25" ht="12.75" customHeight="1" x14ac:dyDescent="0.2">
      <c r="A35" s="53" t="s">
        <v>537</v>
      </c>
      <c r="B35" s="16" t="s">
        <v>538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539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540</v>
      </c>
      <c r="B36" s="16" t="s">
        <v>541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542</v>
      </c>
      <c r="M36" s="16" t="s">
        <v>543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544</v>
      </c>
      <c r="B37" s="16" t="s">
        <v>545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546</v>
      </c>
      <c r="M37" s="16" t="s">
        <v>547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548</v>
      </c>
      <c r="B38" s="16" t="s">
        <v>549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550</v>
      </c>
      <c r="B39" s="16" t="s">
        <v>551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539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552</v>
      </c>
      <c r="B40" s="16" t="s">
        <v>553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539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554</v>
      </c>
      <c r="B41" s="16" t="s">
        <v>555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539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556</v>
      </c>
      <c r="B42" s="16" t="s">
        <v>557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539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558</v>
      </c>
      <c r="B43" s="16" t="s">
        <v>559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560</v>
      </c>
      <c r="B44" s="16" t="s">
        <v>561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542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562</v>
      </c>
      <c r="B45" s="16" t="s">
        <v>563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542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564</v>
      </c>
      <c r="B46" s="16" t="s">
        <v>565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542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566</v>
      </c>
      <c r="B47" s="16" t="s">
        <v>567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542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2024-08-06T20:37:04Z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